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a9a23293bbf56cc/Desktop/İsmayil manager/"/>
    </mc:Choice>
  </mc:AlternateContent>
  <xr:revisionPtr revIDLastSave="1054" documentId="13_ncr:1_{16A5300A-4B1A-4489-B856-D910A7F9B8B6}" xr6:coauthVersionLast="47" xr6:coauthVersionMax="47" xr10:uidLastSave="{F71FE46C-4387-42F1-9E0E-C7FACAEE213D}"/>
  <bookViews>
    <workbookView xWindow="-110" yWindow="-110" windowWidth="19420" windowHeight="11620" firstSheet="18" activeTab="22" xr2:uid="{00000000-000D-0000-FFFF-FFFF00000000}"/>
  </bookViews>
  <sheets>
    <sheet name="İyun 2025" sheetId="1" r:id="rId1"/>
    <sheet name="İyul 2025" sheetId="2" r:id="rId2"/>
    <sheet name="Avqust 2025" sheetId="3" r:id="rId3"/>
    <sheet name="Sentyabr 2025" sheetId="4" r:id="rId4"/>
    <sheet name="Oktyabr 2025" sheetId="5" r:id="rId5"/>
    <sheet name="Noyabr 2025" sheetId="6" r:id="rId6"/>
    <sheet name="Noyabr 08-30.2025" sheetId="7" r:id="rId7"/>
    <sheet name="Dekabr 01-04.2025" sheetId="8" r:id="rId8"/>
    <sheet name="Dekabr 05-25.2025" sheetId="9" r:id="rId9"/>
    <sheet name="Dekabr 25-31.2025" sheetId="10" r:id="rId10"/>
    <sheet name="Yanvar 01-04.2026" sheetId="11" r:id="rId11"/>
    <sheet name="Yanvar 05-31.2016" sheetId="12" r:id="rId12"/>
    <sheet name="Fevral 04-28.2026" sheetId="14" r:id="rId13"/>
    <sheet name="Fevral 01-03.2026" sheetId="13" r:id="rId14"/>
    <sheet name="Mart 01-31.2026" sheetId="15" r:id="rId15"/>
    <sheet name="Aprel-1-16.04" sheetId="16" r:id="rId16"/>
    <sheet name="Aprel 17-30.04" sheetId="17" r:id="rId17"/>
    <sheet name="May 1-5.05" sheetId="18" r:id="rId18"/>
    <sheet name="May 6-31.2026" sheetId="19" r:id="rId19"/>
    <sheet name="İyun 1-16.2026" sheetId="20" r:id="rId20"/>
    <sheet name="Iyun  17-30.2026" sheetId="21" r:id="rId21"/>
    <sheet name="Iyul   1-31" sheetId="22" r:id="rId22"/>
    <sheet name="Avqust 1-3" sheetId="23" r:id="rId23"/>
  </sheets>
  <definedNames>
    <definedName name="_xlnm._FilterDatabase" localSheetId="14" hidden="1">'Mart 01-31.2026'!$A$1:$AL$21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6" l="1"/>
  <c r="O2" i="16"/>
  <c r="O6" i="16"/>
  <c r="O5" i="16"/>
  <c r="O3" i="16"/>
  <c r="O7" i="16"/>
  <c r="I21" i="16"/>
  <c r="I22" i="16"/>
  <c r="I5" i="16"/>
  <c r="I18" i="16"/>
  <c r="I6" i="16"/>
  <c r="I32" i="16"/>
  <c r="I24" i="16"/>
  <c r="I25" i="16"/>
  <c r="I8" i="16"/>
  <c r="I7" i="16"/>
  <c r="I16" i="16"/>
  <c r="I14" i="16"/>
  <c r="I30" i="16"/>
  <c r="I3" i="16"/>
  <c r="I11" i="16"/>
  <c r="I12" i="16"/>
  <c r="I26" i="16"/>
  <c r="I9" i="16"/>
  <c r="I10" i="16"/>
  <c r="I13" i="16"/>
  <c r="I31" i="16"/>
  <c r="I4" i="16"/>
  <c r="I27" i="16"/>
  <c r="I15" i="16"/>
  <c r="I17" i="16"/>
  <c r="I29" i="16"/>
  <c r="I20" i="16"/>
  <c r="I2" i="16"/>
  <c r="C2" i="16"/>
  <c r="E2" i="16"/>
  <c r="B3" i="16"/>
  <c r="B2" i="16"/>
  <c r="E4" i="16"/>
  <c r="E15" i="16"/>
  <c r="C13" i="16" l="1"/>
  <c r="E12" i="16"/>
  <c r="E8" i="14" l="1"/>
  <c r="E15" i="14"/>
  <c r="E14" i="14"/>
  <c r="B3" i="11" l="1"/>
  <c r="B2" i="11"/>
  <c r="C2" i="10"/>
  <c r="D9" i="10"/>
  <c r="E8" i="10"/>
  <c r="E5" i="10"/>
  <c r="E4" i="10"/>
  <c r="E2" i="10"/>
  <c r="B2" i="10"/>
  <c r="B3" i="10"/>
  <c r="E44" i="9"/>
  <c r="E30" i="9"/>
  <c r="E10" i="9"/>
  <c r="E43" i="9"/>
  <c r="E42" i="9"/>
  <c r="E41" i="9"/>
  <c r="E40" i="9"/>
  <c r="E39" i="9"/>
  <c r="E38" i="9"/>
  <c r="E37" i="9"/>
  <c r="E36" i="9"/>
  <c r="E11" i="9"/>
  <c r="E35" i="9"/>
  <c r="E33" i="9"/>
  <c r="E32" i="9"/>
  <c r="E31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7" i="9"/>
  <c r="E9" i="9"/>
  <c r="E8" i="9"/>
  <c r="E6" i="9"/>
  <c r="E5" i="9"/>
  <c r="E4" i="9"/>
  <c r="B2" i="9"/>
  <c r="B3" i="9"/>
  <c r="I11" i="7"/>
  <c r="I25" i="7"/>
  <c r="I3" i="7"/>
  <c r="I8" i="7"/>
  <c r="I29" i="7"/>
  <c r="I20" i="7"/>
  <c r="I19" i="7"/>
  <c r="I9" i="7"/>
  <c r="I26" i="7"/>
  <c r="I4" i="7"/>
  <c r="I17" i="7"/>
  <c r="I12" i="7"/>
  <c r="I13" i="7"/>
  <c r="I22" i="7"/>
  <c r="I16" i="7"/>
  <c r="I10" i="7"/>
  <c r="I36" i="7"/>
  <c r="I33" i="7"/>
  <c r="I27" i="7"/>
  <c r="I28" i="7"/>
  <c r="I24" i="7"/>
  <c r="I31" i="7"/>
  <c r="I23" i="7"/>
  <c r="I18" i="7"/>
  <c r="I5" i="7"/>
  <c r="I2" i="7"/>
  <c r="I14" i="7"/>
  <c r="I15" i="7"/>
  <c r="B12" i="7"/>
  <c r="E8" i="7"/>
  <c r="E10" i="7"/>
  <c r="E9" i="7"/>
  <c r="B3" i="7"/>
  <c r="B2" i="7"/>
  <c r="I15" i="6"/>
  <c r="I10" i="6"/>
  <c r="I4" i="6"/>
  <c r="E2" i="6"/>
  <c r="B3" i="6"/>
  <c r="B2" i="6"/>
  <c r="I8" i="5"/>
  <c r="I7" i="5"/>
  <c r="I6" i="5"/>
  <c r="I5" i="5"/>
  <c r="I4" i="5"/>
  <c r="I2" i="5"/>
  <c r="E24" i="5"/>
  <c r="E10" i="5"/>
  <c r="E28" i="5"/>
  <c r="E11" i="5"/>
  <c r="E12" i="5"/>
  <c r="E7" i="5"/>
  <c r="C2" i="5"/>
  <c r="B3" i="5"/>
  <c r="B2" i="5"/>
  <c r="B3" i="4"/>
  <c r="B2" i="4"/>
  <c r="I10" i="4"/>
  <c r="I21" i="4"/>
  <c r="I9" i="4"/>
  <c r="I17" i="4"/>
  <c r="I12" i="4"/>
  <c r="I31" i="4"/>
  <c r="I26" i="4"/>
  <c r="I4" i="4"/>
  <c r="I18" i="4"/>
  <c r="I20" i="4"/>
  <c r="I32" i="4"/>
  <c r="I37" i="4"/>
  <c r="I15" i="4"/>
  <c r="I22" i="4"/>
  <c r="I16" i="4"/>
  <c r="I7" i="4"/>
  <c r="I34" i="4"/>
  <c r="I30" i="4"/>
  <c r="I2" i="4"/>
  <c r="C3" i="4"/>
  <c r="E2" i="4"/>
  <c r="D26" i="4"/>
  <c r="C2" i="4"/>
  <c r="E3" i="4"/>
  <c r="O3" i="4" l="1"/>
  <c r="O2" i="4"/>
  <c r="O5" i="4"/>
  <c r="O4" i="4"/>
  <c r="I13" i="4"/>
  <c r="I35" i="4"/>
  <c r="I27" i="4"/>
  <c r="I23" i="4"/>
  <c r="I3" i="4" l="1"/>
  <c r="I36" i="4"/>
  <c r="I28" i="4"/>
  <c r="I24" i="4"/>
  <c r="I5" i="4"/>
  <c r="I6" i="4"/>
  <c r="I19" i="4"/>
  <c r="I25" i="4"/>
  <c r="I29" i="4"/>
  <c r="I11" i="4"/>
  <c r="I33" i="4"/>
  <c r="I8" i="4"/>
  <c r="I14" i="4"/>
  <c r="E40" i="4"/>
  <c r="E4" i="4"/>
  <c r="E18" i="4" l="1"/>
  <c r="E19" i="4"/>
  <c r="E14" i="4"/>
  <c r="E25" i="4"/>
  <c r="E38" i="4"/>
  <c r="E26" i="4"/>
  <c r="E16" i="4"/>
  <c r="E35" i="4"/>
  <c r="E34" i="4"/>
  <c r="E30" i="4"/>
  <c r="E32" i="4"/>
  <c r="E31" i="4"/>
  <c r="E20" i="4"/>
  <c r="E22" i="4"/>
  <c r="E28" i="4"/>
  <c r="E23" i="4"/>
  <c r="E24" i="4"/>
  <c r="E21" i="4"/>
  <c r="D2" i="4"/>
  <c r="B11" i="4"/>
  <c r="B10" i="4"/>
  <c r="B9" i="4"/>
  <c r="B8" i="4"/>
  <c r="E6" i="4"/>
  <c r="E58" i="3"/>
  <c r="E56" i="3"/>
  <c r="E55" i="3"/>
  <c r="E54" i="3"/>
  <c r="E53" i="3"/>
  <c r="E52" i="3"/>
  <c r="E51" i="3"/>
  <c r="E50" i="3"/>
  <c r="E49" i="3"/>
  <c r="E46" i="3"/>
  <c r="E45" i="3"/>
  <c r="E44" i="3"/>
  <c r="E43" i="3"/>
  <c r="E34" i="3"/>
  <c r="E33" i="3"/>
  <c r="E32" i="3"/>
  <c r="E28" i="3"/>
  <c r="D28" i="3"/>
  <c r="E27" i="3"/>
  <c r="C27" i="3"/>
  <c r="B27" i="3"/>
  <c r="E26" i="3"/>
  <c r="E22" i="3"/>
  <c r="E21" i="3"/>
  <c r="E15" i="3"/>
  <c r="E14" i="3"/>
  <c r="E13" i="3"/>
  <c r="O5" i="3"/>
  <c r="E5" i="3"/>
  <c r="E4" i="3"/>
  <c r="O3" i="3"/>
  <c r="E3" i="3"/>
  <c r="C3" i="3"/>
  <c r="B3" i="3"/>
  <c r="E2" i="3"/>
  <c r="C2" i="3"/>
  <c r="B2" i="3"/>
  <c r="E42" i="2"/>
  <c r="E38" i="2"/>
  <c r="B37" i="2"/>
  <c r="E22" i="2"/>
  <c r="D21" i="2"/>
  <c r="B19" i="2"/>
  <c r="E15" i="2"/>
  <c r="E13" i="2"/>
  <c r="E12" i="2"/>
  <c r="E11" i="2"/>
  <c r="E10" i="2"/>
  <c r="E9" i="2"/>
  <c r="E8" i="2"/>
  <c r="E4" i="2"/>
  <c r="E3" i="2"/>
  <c r="D3" i="2"/>
  <c r="B3" i="2"/>
  <c r="E2" i="2"/>
  <c r="C2" i="2"/>
  <c r="B2" i="2"/>
  <c r="G31" i="1"/>
  <c r="F28" i="1"/>
  <c r="D27" i="1"/>
  <c r="D26" i="1"/>
  <c r="F22" i="1"/>
  <c r="F21" i="1"/>
  <c r="F16" i="1"/>
  <c r="F15" i="1"/>
  <c r="F14" i="1"/>
  <c r="F13" i="1"/>
  <c r="F12" i="1"/>
  <c r="F11" i="1"/>
  <c r="F9" i="1"/>
  <c r="D9" i="1"/>
  <c r="F8" i="1"/>
  <c r="F6" i="1"/>
  <c r="F5" i="1"/>
  <c r="D5" i="1"/>
  <c r="D4" i="1"/>
  <c r="B3" i="1"/>
  <c r="D2" i="1"/>
  <c r="C2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6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Elina xanım
	-Qamka Quseynova</t>
        </r>
      </text>
    </comment>
    <comment ref="F10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Ustalar
	-Qamka Quseynova</t>
        </r>
      </text>
    </comment>
    <comment ref="F17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Elina xanım
	-Qamka Quseynova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8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Elina xanım
	-Qamka Quseynova</t>
        </r>
      </text>
    </comment>
  </commentList>
</comments>
</file>

<file path=xl/sharedStrings.xml><?xml version="1.0" encoding="utf-8"?>
<sst xmlns="http://schemas.openxmlformats.org/spreadsheetml/2006/main" count="2013" uniqueCount="707">
  <si>
    <t>Məhsulun adı</t>
  </si>
  <si>
    <t>Testing</t>
  </si>
  <si>
    <t>Staff</t>
  </si>
  <si>
    <t xml:space="preserve">Transfer Mətbəxə </t>
  </si>
  <si>
    <t>Transfer İstehsalat</t>
  </si>
  <si>
    <t>Atıldı(Spisanie)</t>
  </si>
  <si>
    <t xml:space="preserve">SMM </t>
  </si>
  <si>
    <t>Guatemala</t>
  </si>
  <si>
    <t>Efiopiya</t>
  </si>
  <si>
    <t>Limon</t>
  </si>
  <si>
    <t>Portağal</t>
  </si>
  <si>
    <t>Matcha</t>
  </si>
  <si>
    <t>Kenya</t>
  </si>
  <si>
    <t>Sarı Swepes</t>
  </si>
  <si>
    <t>Lime</t>
  </si>
  <si>
    <t>Cappucino Gt</t>
  </si>
  <si>
    <t>Portağal fresh</t>
  </si>
  <si>
    <t>Nanə siropu</t>
  </si>
  <si>
    <t>Xıyar fresh</t>
  </si>
  <si>
    <t>Greipfruit meyvə</t>
  </si>
  <si>
    <t>Banan</t>
  </si>
  <si>
    <t>Lemon fresh</t>
  </si>
  <si>
    <t>Malafemina ginger tonic</t>
  </si>
  <si>
    <t>Petruşka</t>
  </si>
  <si>
    <t>60qr</t>
  </si>
  <si>
    <t>Green Detox mulaj</t>
  </si>
  <si>
    <t>Nanə göyərti</t>
  </si>
  <si>
    <t>Şirin pambıq</t>
  </si>
  <si>
    <t>Kivi</t>
  </si>
  <si>
    <t>Orange mini mulaj</t>
  </si>
  <si>
    <t>Greipfruit mini mulaj</t>
  </si>
  <si>
    <t>Tekila</t>
  </si>
  <si>
    <t>Badam südü</t>
  </si>
  <si>
    <t>Caramel topping vizyon</t>
  </si>
  <si>
    <t>Malina meyvə</t>
  </si>
  <si>
    <t>Meysəri sədəf ağ</t>
  </si>
  <si>
    <t>Corona pivə</t>
  </si>
  <si>
    <t>Aktivia</t>
  </si>
  <si>
    <t>Orange fresh mulaj</t>
  </si>
  <si>
    <t>Greyfruit fresh mulaj</t>
  </si>
  <si>
    <t>Green detox mulaj</t>
  </si>
  <si>
    <t>Portağal fresh PF</t>
  </si>
  <si>
    <t>Xıyar sirop</t>
  </si>
  <si>
    <t>İce Tea PF</t>
  </si>
  <si>
    <t>Ağ reyhan</t>
  </si>
  <si>
    <t>Şaftalı</t>
  </si>
  <si>
    <t>3 dəstə</t>
  </si>
  <si>
    <t>Nanə</t>
  </si>
  <si>
    <t>Matça tozu</t>
  </si>
  <si>
    <t>Süd Barista</t>
  </si>
  <si>
    <t>Plombir dondurma</t>
  </si>
  <si>
    <t>Laym</t>
  </si>
  <si>
    <t>1+52</t>
  </si>
  <si>
    <t>Süd</t>
  </si>
  <si>
    <t>Meysəri Sədəf</t>
  </si>
  <si>
    <t>Arabian night</t>
  </si>
  <si>
    <t>Şaftalı meyvə</t>
  </si>
  <si>
    <t>ice tea marakuya</t>
  </si>
  <si>
    <t>ice tea black currant</t>
  </si>
  <si>
    <t>ice tea mango</t>
  </si>
  <si>
    <t>Milliana sirop</t>
  </si>
  <si>
    <t>Tropic tea</t>
  </si>
  <si>
    <t>pomegranate tea</t>
  </si>
  <si>
    <t>Cherry breeze</t>
  </si>
  <si>
    <t>cold brew</t>
  </si>
  <si>
    <t>ice latte gt</t>
  </si>
  <si>
    <t>ice americano gt</t>
  </si>
  <si>
    <t>Green line PF</t>
  </si>
  <si>
    <t>indonezia</t>
  </si>
  <si>
    <t>Alma meyvə</t>
  </si>
  <si>
    <t>Qırmızı reyhan</t>
  </si>
  <si>
    <t>Greipfruit fresh PF</t>
  </si>
  <si>
    <t>Üzüm yarpağı</t>
  </si>
  <si>
    <t>Sirab qazlı 0.75</t>
  </si>
  <si>
    <t>Cold baileys</t>
  </si>
  <si>
    <t>Salted latte</t>
  </si>
  <si>
    <t>Green line</t>
  </si>
  <si>
    <t>Badam süd</t>
  </si>
  <si>
    <t>Nektarin</t>
  </si>
  <si>
    <t>KinKan</t>
  </si>
  <si>
    <t>Sarı swepes</t>
  </si>
  <si>
    <t>qaragilə püre PF</t>
  </si>
  <si>
    <t>Berry shot</t>
  </si>
  <si>
    <t>Rufino şərab</t>
  </si>
  <si>
    <t>Portağal meyvə</t>
  </si>
  <si>
    <t>Brazilia baristika</t>
  </si>
  <si>
    <t>İTEMS</t>
  </si>
  <si>
    <t>Spisanie</t>
  </si>
  <si>
    <t>Çəkiliş</t>
  </si>
  <si>
    <t>Kompliment</t>
  </si>
  <si>
    <t>Məhsul</t>
  </si>
  <si>
    <t>Test</t>
  </si>
  <si>
    <t>Transfer bar</t>
  </si>
  <si>
    <t>SMM çəkiliş</t>
  </si>
  <si>
    <t>Silinmə</t>
  </si>
  <si>
    <t>Blueberry cheesecake</t>
  </si>
  <si>
    <t>Qarpız</t>
  </si>
  <si>
    <t>17kg</t>
  </si>
  <si>
    <t>Crepe</t>
  </si>
  <si>
    <t>Xıyar</t>
  </si>
  <si>
    <t>Chia mango</t>
  </si>
  <si>
    <t>Avacado</t>
  </si>
  <si>
    <t>Chia mixberry</t>
  </si>
  <si>
    <t>Zeytun</t>
  </si>
  <si>
    <t>Yellow stone</t>
  </si>
  <si>
    <t>Canelli white</t>
  </si>
  <si>
    <t>Yumurta</t>
  </si>
  <si>
    <t>Dubai bar</t>
  </si>
  <si>
    <t>Sirnik</t>
  </si>
  <si>
    <t>Salted Grapes</t>
  </si>
  <si>
    <t>Profiteroll dark</t>
  </si>
  <si>
    <t>French toast</t>
  </si>
  <si>
    <t>Ocean breeze</t>
  </si>
  <si>
    <t>Chocolate cake</t>
  </si>
  <si>
    <t>Gyoza</t>
  </si>
  <si>
    <t xml:space="preserve">Detox vitrin </t>
  </si>
  <si>
    <t>Raspberry tartalet</t>
  </si>
  <si>
    <t>Spring rolls</t>
  </si>
  <si>
    <t>Greyfruit mini mulaj</t>
  </si>
  <si>
    <t>Blueberry tart</t>
  </si>
  <si>
    <t>Glass noodle prawn</t>
  </si>
  <si>
    <t>San Sebastian choco</t>
  </si>
  <si>
    <t>Beef noodle</t>
  </si>
  <si>
    <t>Canelli dark</t>
  </si>
  <si>
    <t>Çiyələk</t>
  </si>
  <si>
    <t>Greyfruit meyvə</t>
  </si>
  <si>
    <t>Eclair choco</t>
  </si>
  <si>
    <t>Greyfruit fresh</t>
  </si>
  <si>
    <t>Honey cake</t>
  </si>
  <si>
    <t>Berry ice cream wine</t>
  </si>
  <si>
    <t>San Sebastian Pistachio</t>
  </si>
  <si>
    <t>Avacado detox</t>
  </si>
  <si>
    <t>Eclair vanil</t>
  </si>
  <si>
    <t>Creamy berry matcha</t>
  </si>
  <si>
    <t>Pecan tart</t>
  </si>
  <si>
    <t>Ice americano</t>
  </si>
  <si>
    <t>Dubai cake</t>
  </si>
  <si>
    <t>Mango cheesecake</t>
  </si>
  <si>
    <t>Malina sirop PF</t>
  </si>
  <si>
    <t>Panna Cotta</t>
  </si>
  <si>
    <t>KInKan</t>
  </si>
  <si>
    <t>Canelli rose</t>
  </si>
  <si>
    <t>Cold baileys mulaj</t>
  </si>
  <si>
    <t xml:space="preserve">Ağ reyhan </t>
  </si>
  <si>
    <t>Japaneese</t>
  </si>
  <si>
    <t>Tiramisu</t>
  </si>
  <si>
    <t>Nanə sirop</t>
  </si>
  <si>
    <t>Chia coconut</t>
  </si>
  <si>
    <t>Brazilia</t>
  </si>
  <si>
    <t>Brownie</t>
  </si>
  <si>
    <t>Lotus</t>
  </si>
  <si>
    <t>İce tea peach</t>
  </si>
  <si>
    <t>Napoleon</t>
  </si>
  <si>
    <t>İndoneziya baristica</t>
  </si>
  <si>
    <t>San Sebastian</t>
  </si>
  <si>
    <t>Kenya baristica</t>
  </si>
  <si>
    <t>Merengue</t>
  </si>
  <si>
    <t>Xıyar siropu</t>
  </si>
  <si>
    <t>Matcha cake</t>
  </si>
  <si>
    <t>Negroni</t>
  </si>
  <si>
    <t>ice latte</t>
  </si>
  <si>
    <t>black tonik</t>
  </si>
  <si>
    <t>cappuchino caramel</t>
  </si>
  <si>
    <t>latte</t>
  </si>
  <si>
    <t>meyseri</t>
  </si>
  <si>
    <t>Mango Marakuya lemonade</t>
  </si>
  <si>
    <t>Şaftalı püresi PF</t>
  </si>
  <si>
    <t>İce tea Pf</t>
  </si>
  <si>
    <t>Kivi meyvə</t>
  </si>
  <si>
    <t>Prosecco</t>
  </si>
  <si>
    <t>Matcha tozu</t>
  </si>
  <si>
    <t>Kəklik otu sirop PF</t>
  </si>
  <si>
    <t>Hillside rose</t>
  </si>
  <si>
    <t>Meysəri sədəf</t>
  </si>
  <si>
    <t>Meysəri mərcan</t>
  </si>
  <si>
    <t>Hillside pomegranate</t>
  </si>
  <si>
    <t>Nektarin meyvə</t>
  </si>
  <si>
    <t>Cold brew PF</t>
  </si>
  <si>
    <t>Limon fresh PF</t>
  </si>
  <si>
    <t>Dark coffee</t>
  </si>
  <si>
    <t>Medium coffee</t>
  </si>
  <si>
    <t>Marakuya püre</t>
  </si>
  <si>
    <t>Rozmarin</t>
  </si>
  <si>
    <t>Raf coffee dark</t>
  </si>
  <si>
    <t>efiopia baristica</t>
  </si>
  <si>
    <t>indoneziya baristica</t>
  </si>
  <si>
    <t>brazil baristica</t>
  </si>
  <si>
    <t>Kəklikotu sirop PF</t>
  </si>
  <si>
    <t>Kraxmal</t>
  </si>
  <si>
    <t>Laym meyvə</t>
  </si>
  <si>
    <t>aktivia</t>
  </si>
  <si>
    <t>Avakado</t>
  </si>
  <si>
    <t>Fall brown PF</t>
  </si>
  <si>
    <t>Qatılaşdırılmış süd</t>
  </si>
  <si>
    <t>Limon meyvə</t>
  </si>
  <si>
    <t>Ağ şokolad sous</t>
  </si>
  <si>
    <t>Donmuş üzüm</t>
  </si>
  <si>
    <t>Bal</t>
  </si>
  <si>
    <t>İce tea PF</t>
  </si>
  <si>
    <t>İTEMS Deserts</t>
  </si>
  <si>
    <t>Rafaello</t>
  </si>
  <si>
    <t>Merengue roll</t>
  </si>
  <si>
    <t>Eclair Vanil</t>
  </si>
  <si>
    <t>Eclair Choco</t>
  </si>
  <si>
    <t>San Sebastian CHOCO</t>
  </si>
  <si>
    <t>Tropik mix</t>
  </si>
  <si>
    <t>Chia Kakos</t>
  </si>
  <si>
    <t>Snickers Bar</t>
  </si>
  <si>
    <t>Cream Brulle</t>
  </si>
  <si>
    <t>Tartalet Malina</t>
  </si>
  <si>
    <t>Tartalet Blueberry</t>
  </si>
  <si>
    <t>Tartalet Pecan</t>
  </si>
  <si>
    <t>Chia Mango</t>
  </si>
  <si>
    <t>Chia Mixberry</t>
  </si>
  <si>
    <t>Canelli Dark</t>
  </si>
  <si>
    <t>Canelli White</t>
  </si>
  <si>
    <t>Canelli Rose</t>
  </si>
  <si>
    <t>Profiterol MİLK</t>
  </si>
  <si>
    <t>Coconut bar</t>
  </si>
  <si>
    <t>Profiterol Dark</t>
  </si>
  <si>
    <t>Pistachio Milk cake</t>
  </si>
  <si>
    <t>Saffron Milk Cake</t>
  </si>
  <si>
    <t xml:space="preserve">Japaneese </t>
  </si>
  <si>
    <t>Blueberry</t>
  </si>
  <si>
    <t>Şaftal sirop PF</t>
  </si>
  <si>
    <t>Malina</t>
  </si>
  <si>
    <t>0.030</t>
  </si>
  <si>
    <t>Reyhan</t>
  </si>
  <si>
    <t>Ceferi</t>
  </si>
  <si>
    <t>0.060</t>
  </si>
  <si>
    <t>zəncəfil</t>
  </si>
  <si>
    <t>0.130</t>
  </si>
  <si>
    <t>grapefruit Fresh</t>
  </si>
  <si>
    <t>Latte barista</t>
  </si>
  <si>
    <t>0.400</t>
  </si>
  <si>
    <t>ag shokolad</t>
  </si>
  <si>
    <t>0.253</t>
  </si>
  <si>
    <t>qirmizi reyhan</t>
  </si>
  <si>
    <t>ag reyhan</t>
  </si>
  <si>
    <t>mango bal</t>
  </si>
  <si>
    <t>0.372</t>
  </si>
  <si>
    <t xml:space="preserve">xiyar </t>
  </si>
  <si>
    <t>0.198</t>
  </si>
  <si>
    <t>nanae sirop</t>
  </si>
  <si>
    <t>0.223</t>
  </si>
  <si>
    <t>shaftali</t>
  </si>
  <si>
    <t>0.567</t>
  </si>
  <si>
    <t>Savalan merlot</t>
  </si>
  <si>
    <t>0.667</t>
  </si>
  <si>
    <t>Meyseri sedef</t>
  </si>
  <si>
    <t>0.320</t>
  </si>
  <si>
    <t>ruffina</t>
  </si>
  <si>
    <t xml:space="preserve">detoxs green </t>
  </si>
  <si>
    <t>malina</t>
  </si>
  <si>
    <t>nar soku</t>
  </si>
  <si>
    <t>0.498</t>
  </si>
  <si>
    <t>citrus cheese</t>
  </si>
  <si>
    <t>0.167</t>
  </si>
  <si>
    <t>portagal fResh</t>
  </si>
  <si>
    <t>zencefil sirop</t>
  </si>
  <si>
    <t>0.250</t>
  </si>
  <si>
    <t>şirin pamnıq</t>
  </si>
  <si>
    <t>Tartalet Banan</t>
  </si>
  <si>
    <t>0.095</t>
  </si>
  <si>
    <t>kivi</t>
  </si>
  <si>
    <t>0.092</t>
  </si>
  <si>
    <t>nane sirop</t>
  </si>
  <si>
    <t>0.122</t>
  </si>
  <si>
    <t xml:space="preserve">Shaftali sirop </t>
  </si>
  <si>
    <t>0.120</t>
  </si>
  <si>
    <t xml:space="preserve">keklikotu </t>
  </si>
  <si>
    <t>0.200</t>
  </si>
  <si>
    <t>brew intensev</t>
  </si>
  <si>
    <t>Indonezia</t>
  </si>
  <si>
    <t>0.036</t>
  </si>
  <si>
    <t>Guatamelo</t>
  </si>
  <si>
    <t>0.018</t>
  </si>
  <si>
    <t xml:space="preserve">dondurma </t>
  </si>
  <si>
    <t>0.270</t>
  </si>
  <si>
    <t>Matcha Latte</t>
  </si>
  <si>
    <t xml:space="preserve">Portagal fresh </t>
  </si>
  <si>
    <t>0.360</t>
  </si>
  <si>
    <t>Grapefruit fresh</t>
  </si>
  <si>
    <t>Çiyələk püre</t>
  </si>
  <si>
    <t>0.106</t>
  </si>
  <si>
    <t>Meyeri sedef</t>
  </si>
  <si>
    <t>grapefruit</t>
  </si>
  <si>
    <t>portagal</t>
  </si>
  <si>
    <t>limon</t>
  </si>
  <si>
    <t>portagal  fresh</t>
  </si>
  <si>
    <t>grapefruit fresh</t>
  </si>
  <si>
    <t>green detoxs</t>
  </si>
  <si>
    <t>sirab qazli</t>
  </si>
  <si>
    <t>0.75</t>
  </si>
  <si>
    <t xml:space="preserve">sud </t>
  </si>
  <si>
    <t>Xaş</t>
  </si>
  <si>
    <t>Turşu asorti</t>
  </si>
  <si>
    <t>Xəngəl</t>
  </si>
  <si>
    <t>Qatiq</t>
  </si>
  <si>
    <t>Nar şirəsi</t>
  </si>
  <si>
    <t>zencefil</t>
  </si>
  <si>
    <t xml:space="preserve">grapefruit </t>
  </si>
  <si>
    <t>alma</t>
  </si>
  <si>
    <t>ciyelek</t>
  </si>
  <si>
    <t>\</t>
  </si>
  <si>
    <t>muğudur sirop pf</t>
  </si>
  <si>
    <t>zəncəfil pf</t>
  </si>
  <si>
    <t>limon pf</t>
  </si>
  <si>
    <t>portagal pf</t>
  </si>
  <si>
    <t xml:space="preserve">portagal </t>
  </si>
  <si>
    <t>lkivi</t>
  </si>
  <si>
    <t>nane pf</t>
  </si>
  <si>
    <t>fol braun pf</t>
  </si>
  <si>
    <t>nar sok</t>
  </si>
  <si>
    <t>nastoyka kulikva</t>
  </si>
  <si>
    <t>burbon choco</t>
  </si>
  <si>
    <t>banan</t>
  </si>
  <si>
    <t>praseco</t>
  </si>
  <si>
    <t xml:space="preserve">meyseri mexmeri </t>
  </si>
  <si>
    <t>meyseri sedef</t>
  </si>
  <si>
    <t>lavanda qrusu</t>
  </si>
  <si>
    <t>alma soku</t>
  </si>
  <si>
    <t>cold brev</t>
  </si>
  <si>
    <t>brusnika</t>
  </si>
  <si>
    <t>shaftali pf</t>
  </si>
  <si>
    <t>caytikani pf</t>
  </si>
  <si>
    <t>marshmello</t>
  </si>
  <si>
    <t>green detox</t>
  </si>
  <si>
    <t xml:space="preserve">portagal fresh </t>
  </si>
  <si>
    <t xml:space="preserve">cugundur </t>
  </si>
  <si>
    <t xml:space="preserve">cəfəri </t>
  </si>
  <si>
    <t>kərəviz</t>
  </si>
  <si>
    <t>banan sirop</t>
  </si>
  <si>
    <t>konus vafli</t>
  </si>
  <si>
    <t>hellovin dekor</t>
  </si>
  <si>
    <t xml:space="preserve">chai tea </t>
  </si>
  <si>
    <t>tequklia( Azer bey)</t>
  </si>
  <si>
    <t>ruskiy fkus (Azer bey)</t>
  </si>
  <si>
    <t xml:space="preserve">limon </t>
  </si>
  <si>
    <t>grapefuit fresh</t>
  </si>
  <si>
    <t>kokos sudu (Azer bey)</t>
  </si>
  <si>
    <t>okean breeze</t>
  </si>
  <si>
    <t>orange cup</t>
  </si>
  <si>
    <t>0.40</t>
  </si>
  <si>
    <t>Nnə sirop pf</t>
  </si>
  <si>
    <t>Blue intensiv</t>
  </si>
  <si>
    <t>portagal fresh</t>
  </si>
  <si>
    <t xml:space="preserve">limon fresh </t>
  </si>
  <si>
    <t xml:space="preserve">fol brown </t>
  </si>
  <si>
    <t>lime</t>
  </si>
  <si>
    <t>Hennesey XO (Azer bey )</t>
  </si>
  <si>
    <t>Onigen araq ( yeni il tedbir)</t>
  </si>
  <si>
    <t xml:space="preserve">Çiyələk dondurma </t>
  </si>
  <si>
    <t>Vanilla dondurma</t>
  </si>
  <si>
    <t>0.300</t>
  </si>
  <si>
    <t>0.040</t>
  </si>
  <si>
    <t>0.170</t>
  </si>
  <si>
    <t>0.090</t>
  </si>
  <si>
    <t>Grapefruit</t>
  </si>
  <si>
    <t>0.180</t>
  </si>
  <si>
    <t>Çuğundur pf</t>
  </si>
  <si>
    <t>Balqabağ</t>
  </si>
  <si>
    <t>0.500</t>
  </si>
  <si>
    <t>Yulaf sudu</t>
  </si>
  <si>
    <t>0.430</t>
  </si>
  <si>
    <t>Hot Choco</t>
  </si>
  <si>
    <t>Espresso doble</t>
  </si>
  <si>
    <t>İce amaericano</t>
  </si>
  <si>
    <t>Cream berry matcha</t>
  </si>
  <si>
    <t>Cappuchino</t>
  </si>
  <si>
    <t>Lvanda raff</t>
  </si>
  <si>
    <t>Spanish latte</t>
  </si>
  <si>
    <t>Choco milkshake</t>
  </si>
  <si>
    <t>Americano</t>
  </si>
  <si>
    <t>Tropic iceland</t>
  </si>
  <si>
    <t>Raspberry lime</t>
  </si>
  <si>
    <t>Aperol</t>
  </si>
  <si>
    <t>English breakfast</t>
  </si>
  <si>
    <t>Tart Choco</t>
  </si>
  <si>
    <t>Fall broun pf</t>
  </si>
  <si>
    <t>Hilside pomegranat</t>
  </si>
  <si>
    <t>0.341</t>
  </si>
  <si>
    <t>Meyseri mercan</t>
  </si>
  <si>
    <t>0.480</t>
  </si>
  <si>
    <t>meyseri mexmeri</t>
  </si>
  <si>
    <t>Chipriani</t>
  </si>
  <si>
    <t>Green detox</t>
  </si>
  <si>
    <t xml:space="preserve">mix fresh </t>
  </si>
  <si>
    <t>orange fresh</t>
  </si>
  <si>
    <t>0.052</t>
  </si>
  <si>
    <t>Çuğundur</t>
  </si>
  <si>
    <t>0.919</t>
  </si>
  <si>
    <t>Praseko</t>
  </si>
  <si>
    <t xml:space="preserve">Greyfruit </t>
  </si>
  <si>
    <t>bal</t>
  </si>
  <si>
    <t>0.100</t>
  </si>
  <si>
    <t xml:space="preserve">kivi </t>
  </si>
  <si>
    <t>Almond milk</t>
  </si>
  <si>
    <t>bru intens pf</t>
  </si>
  <si>
    <t>zencefil pf</t>
  </si>
  <si>
    <t>Green detoks mulaj</t>
  </si>
  <si>
    <t>cappichino</t>
  </si>
  <si>
    <t xml:space="preserve">V 60 </t>
  </si>
  <si>
    <t>leady blue</t>
  </si>
  <si>
    <t>dondurma choco</t>
  </si>
  <si>
    <t>dondurma ciyelek</t>
  </si>
  <si>
    <t>portagal mulaj</t>
  </si>
  <si>
    <t>grapefruit  mulaj</t>
  </si>
  <si>
    <t xml:space="preserve">Praseco </t>
  </si>
  <si>
    <t>Portagal</t>
  </si>
  <si>
    <t>bluberry pf</t>
  </si>
  <si>
    <t>Xiyar</t>
  </si>
  <si>
    <t>0.690</t>
  </si>
  <si>
    <t>4 eded</t>
  </si>
  <si>
    <t>9 eded</t>
  </si>
  <si>
    <t>Bluberry</t>
  </si>
  <si>
    <t>Nane</t>
  </si>
  <si>
    <t>1 deste</t>
  </si>
  <si>
    <t>Ciyelek</t>
  </si>
  <si>
    <t xml:space="preserve">Red dragon </t>
  </si>
  <si>
    <t>Green dragon</t>
  </si>
  <si>
    <t>Baket cheese roll</t>
  </si>
  <si>
    <t>Trufel pizza</t>
  </si>
  <si>
    <t>dietik sirnik</t>
  </si>
  <si>
    <t>sud</t>
  </si>
  <si>
    <t>un</t>
  </si>
  <si>
    <t>1.200</t>
  </si>
  <si>
    <t>vanil</t>
  </si>
  <si>
    <t>20 gr</t>
  </si>
  <si>
    <t>Qabartma tozu</t>
  </si>
  <si>
    <t>40 gr</t>
  </si>
  <si>
    <t>Kartof</t>
  </si>
  <si>
    <t>Sogan</t>
  </si>
  <si>
    <t>duru yag</t>
  </si>
  <si>
    <t>0.530</t>
  </si>
  <si>
    <t xml:space="preserve">Kere yagi </t>
  </si>
  <si>
    <t>0.280</t>
  </si>
  <si>
    <t>Mudriyyete ev ucun istifade olunan mehsullar</t>
  </si>
  <si>
    <t>2.610</t>
  </si>
  <si>
    <t>9.576</t>
  </si>
  <si>
    <t>1.675</t>
  </si>
  <si>
    <t>Turkish coffee</t>
  </si>
  <si>
    <t>0.010</t>
  </si>
  <si>
    <t xml:space="preserve"> Orange mulyaj</t>
  </si>
  <si>
    <t xml:space="preserve"> Grapefruit mulyaj</t>
  </si>
  <si>
    <t>Orange fresh</t>
  </si>
  <si>
    <t>Qaragat siresi</t>
  </si>
  <si>
    <t xml:space="preserve"> Green detox mulyaj</t>
  </si>
  <si>
    <t>Vita nar soku</t>
  </si>
  <si>
    <t>0.218</t>
  </si>
  <si>
    <t>Grapefruit meyve</t>
  </si>
  <si>
    <t>0.350</t>
  </si>
  <si>
    <t>Orange meyve</t>
  </si>
  <si>
    <t>Strawberry</t>
  </si>
  <si>
    <t>0.837</t>
  </si>
  <si>
    <t>0.830</t>
  </si>
  <si>
    <t xml:space="preserve">       0.250</t>
  </si>
  <si>
    <t>3.390</t>
  </si>
  <si>
    <t>2.440</t>
  </si>
  <si>
    <t>2.160</t>
  </si>
  <si>
    <t>Gerkules</t>
  </si>
  <si>
    <t>Indoneziya</t>
  </si>
  <si>
    <t xml:space="preserve">       0.054</t>
  </si>
  <si>
    <t>0.468</t>
  </si>
  <si>
    <t>0.235</t>
  </si>
  <si>
    <t>0.140</t>
  </si>
  <si>
    <t>Rasberry pistachio</t>
  </si>
  <si>
    <t>Vanil syrup</t>
  </si>
  <si>
    <t>0.790</t>
  </si>
  <si>
    <t>Green mint syrup</t>
  </si>
  <si>
    <t>Chia sade</t>
  </si>
  <si>
    <t>Eral grey althaus</t>
  </si>
  <si>
    <t>Elina xanim</t>
  </si>
  <si>
    <t>İce matcha latte</t>
  </si>
  <si>
    <t>İce latte</t>
  </si>
  <si>
    <t>Şəkər siropu PF</t>
  </si>
  <si>
    <t>Orange fresh PF</t>
  </si>
  <si>
    <t>Çiyələk meyvə</t>
  </si>
  <si>
    <t>Dubai chocolate cake</t>
  </si>
  <si>
    <t>Raspberry Pistachio</t>
  </si>
  <si>
    <t>Chia PF</t>
  </si>
  <si>
    <t>Chia Marakuya</t>
  </si>
  <si>
    <t>Tropick Mix</t>
  </si>
  <si>
    <t>Tartalet Chocolate</t>
  </si>
  <si>
    <t>Eclair Vanilla</t>
  </si>
  <si>
    <t>Exlair choco</t>
  </si>
  <si>
    <t>Japaneese Cheese</t>
  </si>
  <si>
    <t xml:space="preserve">Profiteroll dark </t>
  </si>
  <si>
    <t>Rafaello cake</t>
  </si>
  <si>
    <t>Orange cup</t>
  </si>
  <si>
    <t>San Sebastian Pisthachio</t>
  </si>
  <si>
    <t>Meringue</t>
  </si>
  <si>
    <t>Cream brulle</t>
  </si>
  <si>
    <t>Tartar Salmon</t>
  </si>
  <si>
    <t>Pancake</t>
  </si>
  <si>
    <t>Omlet</t>
  </si>
  <si>
    <t>Şakşuka</t>
  </si>
  <si>
    <t>Matcha crepe</t>
  </si>
  <si>
    <t>Şokolad crepe</t>
  </si>
  <si>
    <t>Sade Crepe</t>
  </si>
  <si>
    <t>Dietik sirnik</t>
  </si>
  <si>
    <t>Fire Dragon Sushi</t>
  </si>
  <si>
    <t>Pizza 4 pendir</t>
  </si>
  <si>
    <t>Rost beef sandivich</t>
  </si>
  <si>
    <t>sinitsel stelini</t>
  </si>
  <si>
    <t>fai dragon</t>
  </si>
  <si>
    <t>tai beef salat</t>
  </si>
  <si>
    <t>0.630</t>
  </si>
  <si>
    <t xml:space="preserve">yumurta </t>
  </si>
  <si>
    <t>belgian choco</t>
  </si>
  <si>
    <t>0.070</t>
  </si>
  <si>
    <t>2.052</t>
  </si>
  <si>
    <t>5.796</t>
  </si>
  <si>
    <t>1.260</t>
  </si>
  <si>
    <t>1.181</t>
  </si>
  <si>
    <t>Orange mulaj</t>
  </si>
  <si>
    <t>Greyfruit mulaj</t>
  </si>
  <si>
    <t>Pambiq shirin</t>
  </si>
  <si>
    <t>Passion Fruit</t>
  </si>
  <si>
    <t>Bdam sudu</t>
  </si>
  <si>
    <t>0.150</t>
  </si>
  <si>
    <t>0.720</t>
  </si>
  <si>
    <t>1.080</t>
  </si>
  <si>
    <t>Grekules</t>
  </si>
  <si>
    <t>Nar soku</t>
  </si>
  <si>
    <t>0.240</t>
  </si>
  <si>
    <t>Prosseco</t>
  </si>
  <si>
    <t>Hilside rose</t>
  </si>
  <si>
    <t>Savalan Tranimer</t>
  </si>
  <si>
    <t>Hillside pomegranat</t>
  </si>
  <si>
    <t>Citrus cheese latte</t>
  </si>
  <si>
    <t>1.440</t>
  </si>
  <si>
    <t>Petmol qaymaq</t>
  </si>
  <si>
    <t>0.08</t>
  </si>
  <si>
    <t>Decor up qaymaq</t>
  </si>
  <si>
    <t>Jemson viski</t>
  </si>
  <si>
    <t>0.050</t>
  </si>
  <si>
    <t>Vishne pure agrobar</t>
  </si>
  <si>
    <t>Napaleon</t>
  </si>
  <si>
    <t>Profiteroll milk</t>
  </si>
  <si>
    <t>Parfitrol dark</t>
  </si>
  <si>
    <t>0.648</t>
  </si>
  <si>
    <t>0.504</t>
  </si>
  <si>
    <t>1.800</t>
  </si>
  <si>
    <t>Kivi meyve</t>
  </si>
  <si>
    <t>Kakos suyu</t>
  </si>
  <si>
    <t>matcha</t>
  </si>
  <si>
    <t>0.06</t>
  </si>
  <si>
    <t>Decor up</t>
  </si>
  <si>
    <t>Kakos sirop</t>
  </si>
  <si>
    <t>0.020</t>
  </si>
  <si>
    <t>cherry pf</t>
  </si>
  <si>
    <t>sveps</t>
  </si>
  <si>
    <t>Süd 3.2</t>
  </si>
  <si>
    <t>petmol qaymaq</t>
  </si>
  <si>
    <t>Viola pendir</t>
  </si>
  <si>
    <t xml:space="preserve">Lavanda sirop </t>
  </si>
  <si>
    <t>Çiyələk sirop</t>
  </si>
  <si>
    <t xml:space="preserve">Avacado </t>
  </si>
  <si>
    <t>Callebaut ag</t>
  </si>
  <si>
    <t>2.034</t>
  </si>
  <si>
    <t>1.944</t>
  </si>
  <si>
    <t>3.906</t>
  </si>
  <si>
    <t>Orange mini mulyaj</t>
  </si>
  <si>
    <t>Savalan riesling</t>
  </si>
  <si>
    <t>Orange PF</t>
  </si>
  <si>
    <t>12 gr</t>
  </si>
  <si>
    <t>Coconut waither</t>
  </si>
  <si>
    <t>Coconut sirop milliana</t>
  </si>
  <si>
    <t>Caramel sirop</t>
  </si>
  <si>
    <t>Black currant</t>
  </si>
  <si>
    <t>25 gr</t>
  </si>
  <si>
    <t>Espresso dark</t>
  </si>
  <si>
    <t>18 gr</t>
  </si>
  <si>
    <t>Blue matcha</t>
  </si>
  <si>
    <t>49 gr</t>
  </si>
  <si>
    <t>Pink matcha</t>
  </si>
  <si>
    <t>kinkan</t>
  </si>
  <si>
    <t>greyfruit mulaj</t>
  </si>
  <si>
    <t>0.385</t>
  </si>
  <si>
    <t>prosseco</t>
  </si>
  <si>
    <t>Vitamin Alma</t>
  </si>
  <si>
    <t>0.600</t>
  </si>
  <si>
    <t>greyfruit meyve</t>
  </si>
  <si>
    <t>Badam sudu</t>
  </si>
  <si>
    <t>0.715</t>
  </si>
  <si>
    <t>portagal meyve</t>
  </si>
  <si>
    <t xml:space="preserve">Çiyələk </t>
  </si>
  <si>
    <t>Zəncəfil terevez</t>
  </si>
  <si>
    <t>Lokum</t>
  </si>
  <si>
    <t>0.700</t>
  </si>
  <si>
    <t>Tun shokolad</t>
  </si>
  <si>
    <t>Koktey souslu burger</t>
  </si>
  <si>
    <t>Fire dragon</t>
  </si>
  <si>
    <t>Shinitsell stelini</t>
  </si>
  <si>
    <t>Fontand</t>
  </si>
  <si>
    <t>Poke bovl chicken</t>
  </si>
  <si>
    <t>Ramin soup et ile</t>
  </si>
  <si>
    <t>1.250</t>
  </si>
  <si>
    <t>avakado</t>
  </si>
  <si>
    <t>0.8</t>
  </si>
  <si>
    <t>Süd savushkin</t>
  </si>
  <si>
    <t>12 litr</t>
  </si>
  <si>
    <t>0.864</t>
  </si>
  <si>
    <t>1.454</t>
  </si>
  <si>
    <t>çiyələk</t>
  </si>
  <si>
    <t>0.325</t>
  </si>
  <si>
    <t>san sebastian</t>
  </si>
  <si>
    <t>1.274</t>
  </si>
  <si>
    <t>1.077</t>
  </si>
  <si>
    <t>Green detoks mulyaj</t>
  </si>
  <si>
    <t>Portagal fresh mulyaj</t>
  </si>
  <si>
    <t>Greyfruit fresh mulyaj</t>
  </si>
  <si>
    <t>Portagal meyve</t>
  </si>
  <si>
    <t>love is</t>
  </si>
  <si>
    <t>cappuccino</t>
  </si>
  <si>
    <t>ice americano</t>
  </si>
  <si>
    <t>0.035</t>
  </si>
  <si>
    <t>2.975</t>
  </si>
  <si>
    <t>2.215</t>
  </si>
  <si>
    <t>pampiq sirin</t>
  </si>
  <si>
    <t>tropic island</t>
  </si>
  <si>
    <t>mangom marakuya</t>
  </si>
  <si>
    <t>cold brew columbiya</t>
  </si>
  <si>
    <t>Saftali meyve</t>
  </si>
  <si>
    <t>0.185</t>
  </si>
  <si>
    <t>pink bloom latte</t>
  </si>
  <si>
    <t>blue sky latte</t>
  </si>
  <si>
    <t xml:space="preserve">velvet ravanda </t>
  </si>
  <si>
    <t>Kere yagi</t>
  </si>
  <si>
    <t>AVOCADO</t>
  </si>
  <si>
    <t>9 EDED</t>
  </si>
  <si>
    <t>YUMURTA</t>
  </si>
  <si>
    <t>6 EDED</t>
  </si>
  <si>
    <t>XIYAR</t>
  </si>
  <si>
    <t>1.300</t>
  </si>
  <si>
    <t>CIYELEK</t>
  </si>
  <si>
    <t>PREMIUM SET</t>
  </si>
  <si>
    <t>3 SET</t>
  </si>
  <si>
    <t>TEMPURA KALMAR</t>
  </si>
  <si>
    <t>1 PORS</t>
  </si>
  <si>
    <t>MOZERELLA STICK</t>
  </si>
  <si>
    <t>PRAWN CRACKER</t>
  </si>
  <si>
    <t>QIZARMIS ZEYTUN</t>
  </si>
  <si>
    <t>2 PORS</t>
  </si>
  <si>
    <t>SEZAR ROLL</t>
  </si>
  <si>
    <t xml:space="preserve">     1 PORS</t>
  </si>
  <si>
    <t>Mehsulun adi</t>
  </si>
  <si>
    <t>Orange fresh mulyaj</t>
  </si>
  <si>
    <t>Grapefruit fresh mulyaj</t>
  </si>
  <si>
    <t>Chia pf</t>
  </si>
  <si>
    <t>Chia marakuya</t>
  </si>
  <si>
    <t>Ciylek meyve</t>
  </si>
  <si>
    <t>0.220</t>
  </si>
  <si>
    <t>Ice latte</t>
  </si>
  <si>
    <t>Espresso tonic</t>
  </si>
  <si>
    <t>Corona</t>
  </si>
  <si>
    <t>Sud barista</t>
  </si>
  <si>
    <t>Nane syrop</t>
  </si>
  <si>
    <t>Cold brew</t>
  </si>
  <si>
    <t>0.950</t>
  </si>
  <si>
    <t>Kereviz</t>
  </si>
  <si>
    <t>Pumpkin spicy</t>
  </si>
  <si>
    <t>Fall brown</t>
  </si>
  <si>
    <t>Qaragile siropu</t>
  </si>
  <si>
    <t>Sebastian pistachio</t>
  </si>
  <si>
    <t>Sebastian sade</t>
  </si>
  <si>
    <t>Tart blueberry</t>
  </si>
  <si>
    <t>Tart choco</t>
  </si>
  <si>
    <t>Tart malina</t>
  </si>
  <si>
    <t>Éclair choco</t>
  </si>
  <si>
    <t>Éclair vanil</t>
  </si>
  <si>
    <t>Profitrol dark</t>
  </si>
  <si>
    <t>Profitrol milk</t>
  </si>
  <si>
    <t>Pistachio milk cake</t>
  </si>
  <si>
    <t>Frappe</t>
  </si>
  <si>
    <t>0.113</t>
  </si>
  <si>
    <t xml:space="preserve">Alma </t>
  </si>
  <si>
    <t>0.055</t>
  </si>
  <si>
    <t>Pampiq sirin</t>
  </si>
  <si>
    <t xml:space="preserve">Limon </t>
  </si>
  <si>
    <t>0.110</t>
  </si>
  <si>
    <t>Qaragile vita1000</t>
  </si>
  <si>
    <t>1.152</t>
  </si>
  <si>
    <t>4.223</t>
  </si>
  <si>
    <t>Pistachio rasberry cake</t>
  </si>
  <si>
    <t>3.600</t>
  </si>
  <si>
    <t>3.080</t>
  </si>
  <si>
    <t>2.088</t>
  </si>
  <si>
    <t>Meringue roll</t>
  </si>
  <si>
    <t>Choco cake diet</t>
  </si>
  <si>
    <t>Blueberry chesecake</t>
  </si>
  <si>
    <t>Japaness cake</t>
  </si>
  <si>
    <t>Velvet ravanda</t>
  </si>
  <si>
    <t>Tropic mix</t>
  </si>
  <si>
    <t>Cream brule</t>
  </si>
  <si>
    <t>Saffron milk cake</t>
  </si>
  <si>
    <t>0.900</t>
  </si>
  <si>
    <t>0.230</t>
  </si>
  <si>
    <t>Callebaut tund</t>
  </si>
  <si>
    <t>Pudra sheker</t>
  </si>
  <si>
    <t>5.418</t>
  </si>
  <si>
    <t>0/306</t>
  </si>
  <si>
    <t>0/270</t>
  </si>
  <si>
    <t>0.162</t>
  </si>
  <si>
    <t>0.144</t>
  </si>
  <si>
    <t>0.540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</si>
</sst>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4"/>
      <color theme="1"/>
      <name val="Comfortaa"/>
    </font>
    <font>
      <b/>
      <sz val="12"/>
      <color theme="1"/>
      <name val="Comfortaa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F6B26B"/>
        <bgColor rgb="FFF6B26B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8E7CC3"/>
        <bgColor rgb="FF8E7CC3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FFE59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3" fillId="0" borderId="4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7" fillId="0" borderId="3" xfId="0" applyFont="1" applyBorder="1"/>
    <xf numFmtId="0" fontId="3" fillId="6" borderId="4" xfId="0" applyFont="1" applyFill="1" applyBorder="1"/>
    <xf numFmtId="0" fontId="7" fillId="7" borderId="4" xfId="0" applyFont="1" applyFill="1" applyBorder="1" applyAlignment="1">
      <alignment horizontal="center"/>
    </xf>
    <xf numFmtId="0" fontId="3" fillId="8" borderId="4" xfId="0" applyFont="1" applyFill="1" applyBorder="1"/>
    <xf numFmtId="0" fontId="3" fillId="9" borderId="4" xfId="0" applyFont="1" applyFill="1" applyBorder="1"/>
    <xf numFmtId="0" fontId="3" fillId="7" borderId="4" xfId="0" applyFont="1" applyFill="1" applyBorder="1"/>
    <xf numFmtId="0" fontId="7" fillId="8" borderId="4" xfId="0" applyFont="1" applyFill="1" applyBorder="1" applyAlignment="1">
      <alignment horizontal="center"/>
    </xf>
    <xf numFmtId="0" fontId="7" fillId="0" borderId="6" xfId="0" applyFont="1" applyBorder="1"/>
    <xf numFmtId="0" fontId="7" fillId="9" borderId="4" xfId="0" applyFont="1" applyFill="1" applyBorder="1" applyAlignment="1">
      <alignment horizontal="center"/>
    </xf>
    <xf numFmtId="0" fontId="2" fillId="10" borderId="3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3" fontId="7" fillId="7" borderId="4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16" fontId="3" fillId="9" borderId="4" xfId="0" applyNumberFormat="1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8" fillId="6" borderId="4" xfId="0" applyFont="1" applyFill="1" applyBorder="1"/>
    <xf numFmtId="0" fontId="2" fillId="0" borderId="6" xfId="0" applyFont="1" applyBorder="1"/>
    <xf numFmtId="3" fontId="2" fillId="0" borderId="8" xfId="0" applyNumberFormat="1" applyFont="1" applyBorder="1" applyAlignment="1">
      <alignment horizontal="center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/>
  <cols>
    <col min="1" max="1" width="19.81640625" customWidth="1"/>
  </cols>
  <sheetData>
    <row r="1" spans="1:2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4" t="s">
        <v>7</v>
      </c>
      <c r="B2" s="5">
        <f>108+72+90+108+126+36+72+162+90+126+108+198+144+162+162+72+126+126+144+144+126+18</f>
        <v>2520</v>
      </c>
      <c r="C2" s="5">
        <f>288+342+216+162+90+18+288+216</f>
        <v>1620</v>
      </c>
      <c r="D2" s="5">
        <f>60+60</f>
        <v>120</v>
      </c>
      <c r="E2" s="5"/>
      <c r="F2" s="5">
        <v>1080</v>
      </c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4" t="s">
        <v>8</v>
      </c>
      <c r="B3" s="5">
        <f>108+18+90+90+126+36+54+90+72+90+90+198+90+126+72+90+72+126+90+72+90+36</f>
        <v>1926</v>
      </c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4" t="s">
        <v>9</v>
      </c>
      <c r="B4" s="5"/>
      <c r="C4" s="5"/>
      <c r="D4" s="5">
        <f>122+110</f>
        <v>232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4" t="s">
        <v>10</v>
      </c>
      <c r="B5" s="5"/>
      <c r="C5" s="5"/>
      <c r="D5" s="5">
        <f>220</f>
        <v>220</v>
      </c>
      <c r="E5" s="5"/>
      <c r="F5" s="5">
        <f>120+55+50+45+87+70</f>
        <v>427</v>
      </c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4" t="s">
        <v>11</v>
      </c>
      <c r="B6" s="5"/>
      <c r="C6" s="5"/>
      <c r="D6" s="5"/>
      <c r="E6" s="5"/>
      <c r="F6" s="5">
        <f>100</f>
        <v>100</v>
      </c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4" t="s">
        <v>12</v>
      </c>
      <c r="B7" s="5">
        <v>36</v>
      </c>
      <c r="C7" s="5"/>
      <c r="D7" s="5"/>
      <c r="E7" s="5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4" t="s">
        <v>13</v>
      </c>
      <c r="B8" s="5">
        <v>200</v>
      </c>
      <c r="C8" s="5"/>
      <c r="D8" s="5"/>
      <c r="E8" s="5"/>
      <c r="F8" s="5">
        <f>200+80</f>
        <v>280</v>
      </c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4" t="s">
        <v>14</v>
      </c>
      <c r="B9" s="5"/>
      <c r="C9" s="5"/>
      <c r="D9" s="5">
        <f>3+1</f>
        <v>4</v>
      </c>
      <c r="E9" s="5"/>
      <c r="F9" s="5">
        <f>1</f>
        <v>1</v>
      </c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4" t="s">
        <v>15</v>
      </c>
      <c r="B10" s="5"/>
      <c r="C10" s="5"/>
      <c r="D10" s="5"/>
      <c r="E10" s="5"/>
      <c r="F10" s="5">
        <v>2</v>
      </c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4" t="s">
        <v>16</v>
      </c>
      <c r="B11" s="5"/>
      <c r="C11" s="5"/>
      <c r="D11" s="5"/>
      <c r="E11" s="5"/>
      <c r="F11" s="5">
        <f>130+350+107+128</f>
        <v>715</v>
      </c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4" t="s">
        <v>17</v>
      </c>
      <c r="B12" s="5"/>
      <c r="C12" s="5"/>
      <c r="D12" s="5"/>
      <c r="E12" s="5"/>
      <c r="F12" s="5">
        <f>110+175+93+90+30+127</f>
        <v>625</v>
      </c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4" t="s">
        <v>18</v>
      </c>
      <c r="B13" s="5"/>
      <c r="C13" s="5"/>
      <c r="D13" s="5"/>
      <c r="E13" s="5"/>
      <c r="F13" s="5">
        <f>173+84+140+94+70+135</f>
        <v>696</v>
      </c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4" t="s">
        <v>19</v>
      </c>
      <c r="B14" s="5"/>
      <c r="C14" s="5"/>
      <c r="D14" s="5"/>
      <c r="E14" s="5"/>
      <c r="F14" s="5">
        <f>20+15</f>
        <v>35</v>
      </c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4" t="s">
        <v>20</v>
      </c>
      <c r="B15" s="5"/>
      <c r="C15" s="5"/>
      <c r="D15" s="5"/>
      <c r="E15" s="5"/>
      <c r="F15" s="5">
        <f>540+410+270+185+240+197</f>
        <v>1842</v>
      </c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4" t="s">
        <v>21</v>
      </c>
      <c r="B16" s="5"/>
      <c r="C16" s="5"/>
      <c r="D16" s="5"/>
      <c r="E16" s="5"/>
      <c r="F16" s="5">
        <f>55</f>
        <v>55</v>
      </c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4" t="s">
        <v>22</v>
      </c>
      <c r="B17" s="5"/>
      <c r="C17" s="5"/>
      <c r="D17" s="5"/>
      <c r="E17" s="5"/>
      <c r="F17" s="5">
        <v>1</v>
      </c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4" t="s">
        <v>23</v>
      </c>
      <c r="B18" s="5"/>
      <c r="C18" s="5"/>
      <c r="D18" s="5"/>
      <c r="E18" s="5"/>
      <c r="F18" s="5" t="s">
        <v>24</v>
      </c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4" t="s">
        <v>25</v>
      </c>
      <c r="B19" s="5"/>
      <c r="C19" s="5"/>
      <c r="D19" s="5"/>
      <c r="E19" s="5"/>
      <c r="F19" s="5">
        <v>3</v>
      </c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4" t="s">
        <v>26</v>
      </c>
      <c r="B20" s="5"/>
      <c r="C20" s="5"/>
      <c r="D20" s="5"/>
      <c r="E20" s="5"/>
      <c r="F20" s="5">
        <v>4</v>
      </c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4" t="s">
        <v>27</v>
      </c>
      <c r="B21" s="5"/>
      <c r="C21" s="5"/>
      <c r="D21" s="5"/>
      <c r="E21" s="5"/>
      <c r="F21" s="5">
        <f>58</f>
        <v>58</v>
      </c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" t="s">
        <v>28</v>
      </c>
      <c r="B22" s="5"/>
      <c r="C22" s="5"/>
      <c r="D22" s="5"/>
      <c r="E22" s="5"/>
      <c r="F22" s="5">
        <f>28+50+20</f>
        <v>98</v>
      </c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" t="s">
        <v>29</v>
      </c>
      <c r="B23" s="5"/>
      <c r="C23" s="5"/>
      <c r="D23" s="5"/>
      <c r="E23" s="5"/>
      <c r="F23" s="5">
        <v>6</v>
      </c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4" t="s">
        <v>30</v>
      </c>
      <c r="B24" s="5"/>
      <c r="C24" s="5"/>
      <c r="D24" s="5"/>
      <c r="E24" s="5"/>
      <c r="F24" s="5">
        <v>6</v>
      </c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4" t="s">
        <v>31</v>
      </c>
      <c r="B25" s="5"/>
      <c r="C25" s="5"/>
      <c r="D25" s="5">
        <v>25</v>
      </c>
      <c r="E25" s="5"/>
      <c r="F25" s="5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 t="s">
        <v>32</v>
      </c>
      <c r="B26" s="5"/>
      <c r="C26" s="5"/>
      <c r="D26" s="5">
        <f>500</f>
        <v>500</v>
      </c>
      <c r="E26" s="5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4" t="s">
        <v>33</v>
      </c>
      <c r="B27" s="5"/>
      <c r="C27" s="5"/>
      <c r="D27" s="5">
        <f>50</f>
        <v>50</v>
      </c>
      <c r="E27" s="5"/>
      <c r="F27" s="5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4" t="s">
        <v>34</v>
      </c>
      <c r="B28" s="5"/>
      <c r="C28" s="5"/>
      <c r="D28" s="5"/>
      <c r="E28" s="5"/>
      <c r="F28" s="5">
        <f>60+150</f>
        <v>210</v>
      </c>
      <c r="G28" s="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4" t="s">
        <v>35</v>
      </c>
      <c r="B29" s="5"/>
      <c r="C29" s="5"/>
      <c r="D29" s="5"/>
      <c r="E29" s="5"/>
      <c r="F29" s="5"/>
      <c r="G29" s="5">
        <v>360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" t="s">
        <v>36</v>
      </c>
      <c r="B30" s="5"/>
      <c r="C30" s="5"/>
      <c r="D30" s="5"/>
      <c r="E30" s="5"/>
      <c r="F30" s="5"/>
      <c r="G30" s="5">
        <v>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4" t="s">
        <v>37</v>
      </c>
      <c r="B31" s="5"/>
      <c r="C31" s="5"/>
      <c r="D31" s="5"/>
      <c r="E31" s="5"/>
      <c r="F31" s="5"/>
      <c r="G31" s="5">
        <f>150</f>
        <v>150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5">
      <c r="A32" s="4"/>
      <c r="B32" s="5"/>
      <c r="C32" s="5"/>
      <c r="D32" s="5"/>
      <c r="E32" s="5"/>
      <c r="F32" s="5"/>
      <c r="G32" s="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5">
      <c r="A33" s="4"/>
      <c r="B33" s="5"/>
      <c r="C33" s="5"/>
      <c r="D33" s="5"/>
      <c r="E33" s="5"/>
      <c r="F33" s="5"/>
      <c r="G33" s="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5">
      <c r="A34" s="4"/>
      <c r="B34" s="5"/>
      <c r="C34" s="5"/>
      <c r="D34" s="5"/>
      <c r="E34" s="5"/>
      <c r="F34" s="5"/>
      <c r="G34" s="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5">
      <c r="A35" s="4"/>
      <c r="B35" s="5"/>
      <c r="C35" s="5"/>
      <c r="D35" s="5"/>
      <c r="E35" s="5"/>
      <c r="F35" s="5"/>
      <c r="G35" s="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5">
      <c r="A36" s="4"/>
      <c r="B36" s="5"/>
      <c r="C36" s="5"/>
      <c r="D36" s="5"/>
      <c r="E36" s="5"/>
      <c r="F36" s="5"/>
      <c r="G36" s="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5">
      <c r="A37" s="4"/>
      <c r="B37" s="5"/>
      <c r="C37" s="5"/>
      <c r="D37" s="5"/>
      <c r="E37" s="5"/>
      <c r="F37" s="5"/>
      <c r="G37" s="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5">
      <c r="A38" s="4"/>
      <c r="B38" s="5"/>
      <c r="C38" s="5"/>
      <c r="D38" s="5"/>
      <c r="E38" s="5"/>
      <c r="F38" s="5"/>
      <c r="G38" s="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5">
      <c r="A39" s="4"/>
      <c r="B39" s="5"/>
      <c r="C39" s="5"/>
      <c r="D39" s="5"/>
      <c r="E39" s="5"/>
      <c r="F39" s="5"/>
      <c r="G39" s="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5">
      <c r="A40" s="4"/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5">
      <c r="A41" s="4"/>
      <c r="B41" s="5"/>
      <c r="C41" s="5"/>
      <c r="D41" s="5"/>
      <c r="E41" s="5"/>
      <c r="F41" s="5"/>
      <c r="G41" s="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5">
      <c r="A42" s="4"/>
      <c r="B42" s="5"/>
      <c r="C42" s="5"/>
      <c r="D42" s="5"/>
      <c r="E42" s="5"/>
      <c r="F42" s="5"/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5">
      <c r="A43" s="4"/>
      <c r="B43" s="5"/>
      <c r="C43" s="5"/>
      <c r="D43" s="5"/>
      <c r="E43" s="5"/>
      <c r="F43" s="5"/>
      <c r="G43" s="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5">
      <c r="A44" s="4"/>
      <c r="B44" s="5"/>
      <c r="C44" s="5"/>
      <c r="D44" s="5"/>
      <c r="E44" s="5"/>
      <c r="F44" s="5"/>
      <c r="G44" s="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5">
      <c r="A45" s="4"/>
      <c r="B45" s="5"/>
      <c r="C45" s="5"/>
      <c r="D45" s="5"/>
      <c r="E45" s="5"/>
      <c r="F45" s="5"/>
      <c r="G45" s="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5">
      <c r="A46" s="4"/>
      <c r="B46" s="5"/>
      <c r="C46" s="5"/>
      <c r="D46" s="5"/>
      <c r="E46" s="5"/>
      <c r="F46" s="5"/>
      <c r="G46" s="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5">
      <c r="A47" s="4"/>
      <c r="B47" s="5"/>
      <c r="C47" s="5"/>
      <c r="D47" s="5"/>
      <c r="E47" s="5"/>
      <c r="F47" s="5"/>
      <c r="G47" s="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5">
      <c r="A48" s="4"/>
      <c r="B48" s="5"/>
      <c r="C48" s="5"/>
      <c r="D48" s="5"/>
      <c r="E48" s="5"/>
      <c r="F48" s="5"/>
      <c r="G48" s="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5">
      <c r="A49" s="4"/>
      <c r="B49" s="5"/>
      <c r="C49" s="5"/>
      <c r="D49" s="5"/>
      <c r="E49" s="5"/>
      <c r="F49" s="5"/>
      <c r="G49" s="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4B97-4A44-4551-A253-658C7BDC6F3B}">
  <dimension ref="A1:AL1000"/>
  <sheetViews>
    <sheetView workbookViewId="0">
      <selection activeCell="E16" sqref="E16"/>
    </sheetView>
  </sheetViews>
  <sheetFormatPr defaultColWidth="12.6328125" defaultRowHeight="12.5"/>
  <cols>
    <col min="1" max="1" width="25.179687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54+36+54+54+108+108+108+54</f>
        <v>576</v>
      </c>
      <c r="C2" s="6">
        <f>62*18</f>
        <v>1116</v>
      </c>
      <c r="D2" s="6"/>
      <c r="E2" s="36">
        <f>6*54</f>
        <v>324</v>
      </c>
      <c r="F2" s="18"/>
      <c r="G2" s="10"/>
      <c r="H2" s="19" t="s">
        <v>200</v>
      </c>
      <c r="I2" s="32">
        <v>1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54+54+72+36+108+18+36</f>
        <v>378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>
        <v>9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344</v>
      </c>
      <c r="B4" s="18"/>
      <c r="C4" s="18"/>
      <c r="D4" s="20"/>
      <c r="E4" s="36">
        <f>208</f>
        <v>208</v>
      </c>
      <c r="F4" s="18"/>
      <c r="G4" s="10"/>
      <c r="H4" s="19" t="s">
        <v>201</v>
      </c>
      <c r="I4" s="32">
        <v>8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345</v>
      </c>
      <c r="B5" s="18"/>
      <c r="C5" s="18"/>
      <c r="D5" s="20"/>
      <c r="E5" s="36">
        <f>100</f>
        <v>100</v>
      </c>
      <c r="F5" s="18"/>
      <c r="G5" s="10"/>
      <c r="H5" s="19" t="s">
        <v>202</v>
      </c>
      <c r="I5" s="32"/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346</v>
      </c>
      <c r="B6" s="18"/>
      <c r="C6" s="18"/>
      <c r="D6" s="20"/>
      <c r="E6" s="36">
        <v>160</v>
      </c>
      <c r="F6" s="18"/>
      <c r="G6" s="10"/>
      <c r="H6" s="19" t="s">
        <v>203</v>
      </c>
      <c r="I6" s="32"/>
      <c r="J6" s="18"/>
      <c r="K6" s="18"/>
      <c r="L6" s="10"/>
      <c r="M6" s="21" t="s">
        <v>124</v>
      </c>
      <c r="N6" s="22"/>
      <c r="O6" s="23" t="s">
        <v>343</v>
      </c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347</v>
      </c>
      <c r="B7" s="18"/>
      <c r="C7" s="18"/>
      <c r="D7" s="18"/>
      <c r="E7" s="36">
        <v>150</v>
      </c>
      <c r="F7" s="18"/>
      <c r="G7" s="10"/>
      <c r="H7" s="19" t="s">
        <v>204</v>
      </c>
      <c r="I7" s="32">
        <v>3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348</v>
      </c>
      <c r="B8" s="18"/>
      <c r="C8" s="18"/>
      <c r="D8" s="18"/>
      <c r="E8" s="36">
        <f>100</f>
        <v>100</v>
      </c>
      <c r="F8" s="18"/>
      <c r="G8" s="10"/>
      <c r="H8" s="19" t="s">
        <v>152</v>
      </c>
      <c r="I8" s="32"/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287</v>
      </c>
      <c r="B9" s="18"/>
      <c r="C9" s="18"/>
      <c r="D9" s="20">
        <f>900</f>
        <v>900</v>
      </c>
      <c r="E9" s="36"/>
      <c r="F9" s="18"/>
      <c r="G9" s="10"/>
      <c r="H9" s="19" t="s">
        <v>205</v>
      </c>
      <c r="I9" s="32"/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302</v>
      </c>
      <c r="B10" s="18"/>
      <c r="C10" s="18"/>
      <c r="D10" s="18"/>
      <c r="E10" s="36">
        <v>110</v>
      </c>
      <c r="F10" s="18"/>
      <c r="G10" s="10"/>
      <c r="H10" s="19" t="s">
        <v>206</v>
      </c>
      <c r="I10" s="32"/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309</v>
      </c>
      <c r="B11" s="18"/>
      <c r="C11" s="18"/>
      <c r="D11" s="18"/>
      <c r="E11" s="36">
        <v>50</v>
      </c>
      <c r="F11" s="18"/>
      <c r="G11" s="10"/>
      <c r="H11" s="19" t="s">
        <v>137</v>
      </c>
      <c r="I11" s="32">
        <v>1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349</v>
      </c>
      <c r="B12" s="18"/>
      <c r="C12" s="18"/>
      <c r="D12" s="18"/>
      <c r="E12" s="20">
        <v>40</v>
      </c>
      <c r="F12" s="18"/>
      <c r="G12" s="10"/>
      <c r="H12" s="19" t="s">
        <v>136</v>
      </c>
      <c r="I12" s="32">
        <v>1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286</v>
      </c>
      <c r="B13" s="18"/>
      <c r="C13" s="18"/>
      <c r="D13" s="18"/>
      <c r="E13" s="36">
        <v>100</v>
      </c>
      <c r="F13" s="18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291</v>
      </c>
      <c r="B14" s="18"/>
      <c r="C14" s="18"/>
      <c r="D14" s="18"/>
      <c r="E14" s="36">
        <v>180</v>
      </c>
      <c r="F14" s="18"/>
      <c r="G14" s="10"/>
      <c r="H14" s="19" t="s">
        <v>207</v>
      </c>
      <c r="I14" s="32">
        <v>3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350</v>
      </c>
      <c r="B15" s="18"/>
      <c r="C15" s="18"/>
      <c r="D15" s="6"/>
      <c r="E15" s="36">
        <v>1</v>
      </c>
      <c r="F15" s="18"/>
      <c r="G15" s="10"/>
      <c r="H15" s="19" t="s">
        <v>208</v>
      </c>
      <c r="I15" s="32">
        <v>1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351</v>
      </c>
      <c r="B16" s="18"/>
      <c r="C16" s="18"/>
      <c r="D16" s="18"/>
      <c r="E16" s="36">
        <v>2</v>
      </c>
      <c r="F16" s="18"/>
      <c r="G16" s="10"/>
      <c r="H16" s="19" t="s">
        <v>139</v>
      </c>
      <c r="I16" s="32"/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18"/>
      <c r="G17" s="10"/>
      <c r="H17" s="19" t="s">
        <v>209</v>
      </c>
      <c r="I17" s="32">
        <v>2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18"/>
      <c r="G18" s="10"/>
      <c r="H18" s="19" t="s">
        <v>210</v>
      </c>
      <c r="I18" s="32">
        <v>1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18"/>
      <c r="G19" s="10"/>
      <c r="H19" s="19" t="s">
        <v>262</v>
      </c>
      <c r="I19" s="32">
        <v>1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18"/>
      <c r="G20" s="10"/>
      <c r="H20" s="19" t="s">
        <v>212</v>
      </c>
      <c r="I20" s="32"/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18"/>
      <c r="G21" s="10"/>
      <c r="H21" s="19" t="s">
        <v>213</v>
      </c>
      <c r="I21" s="32"/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18"/>
      <c r="G22" s="10"/>
      <c r="H22" s="19" t="s">
        <v>95</v>
      </c>
      <c r="I22" s="32">
        <v>1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6"/>
      <c r="G23" s="10"/>
      <c r="H23" s="19" t="s">
        <v>214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6"/>
      <c r="G24" s="10"/>
      <c r="H24" s="19" t="s">
        <v>113</v>
      </c>
      <c r="I24" s="32">
        <v>2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6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6"/>
      <c r="G26" s="10"/>
      <c r="H26" s="19" t="s">
        <v>158</v>
      </c>
      <c r="I26" s="32">
        <v>1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6"/>
      <c r="G27" s="10"/>
      <c r="H27" s="19" t="s">
        <v>215</v>
      </c>
      <c r="I27" s="32">
        <v>1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>
        <v>1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>
        <v>1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217</v>
      </c>
      <c r="I31" s="32"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150</v>
      </c>
      <c r="I32" s="32">
        <v>2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>
        <v>2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219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222</v>
      </c>
      <c r="I37" s="32">
        <v>1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>
        <v>1</v>
      </c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342</v>
      </c>
      <c r="I39" s="32">
        <v>2</v>
      </c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C2FB-6489-4AD9-A915-68804950F679}">
  <dimension ref="A1:AL1000"/>
  <sheetViews>
    <sheetView workbookViewId="0">
      <selection sqref="A1:XFD1048576"/>
    </sheetView>
  </sheetViews>
  <sheetFormatPr defaultColWidth="12.6328125" defaultRowHeight="12.5"/>
  <cols>
    <col min="1" max="1" width="25.179687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23*18+220</f>
        <v>634</v>
      </c>
      <c r="C2" s="6">
        <v>480</v>
      </c>
      <c r="D2" s="6"/>
      <c r="E2" s="36"/>
      <c r="F2" s="18"/>
      <c r="G2" s="10"/>
      <c r="H2" s="19" t="s">
        <v>200</v>
      </c>
      <c r="I2" s="32">
        <v>2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14*18</f>
        <v>252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300</v>
      </c>
      <c r="B4" s="18"/>
      <c r="C4" s="18"/>
      <c r="D4" s="20">
        <v>210</v>
      </c>
      <c r="E4" s="36">
        <v>200</v>
      </c>
      <c r="F4" s="18"/>
      <c r="G4" s="10"/>
      <c r="H4" s="19" t="s">
        <v>201</v>
      </c>
      <c r="I4" s="32"/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/>
      <c r="B5" s="18"/>
      <c r="C5" s="18"/>
      <c r="D5" s="20"/>
      <c r="E5" s="36"/>
      <c r="F5" s="18"/>
      <c r="G5" s="10"/>
      <c r="H5" s="19" t="s">
        <v>202</v>
      </c>
      <c r="I5" s="32"/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/>
      <c r="B6" s="18"/>
      <c r="C6" s="18"/>
      <c r="D6" s="20"/>
      <c r="E6" s="36"/>
      <c r="F6" s="18"/>
      <c r="G6" s="10"/>
      <c r="H6" s="19" t="s">
        <v>203</v>
      </c>
      <c r="I6" s="32"/>
      <c r="J6" s="18"/>
      <c r="K6" s="18"/>
      <c r="L6" s="10"/>
      <c r="M6" s="21" t="s">
        <v>124</v>
      </c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/>
      <c r="B7" s="18"/>
      <c r="C7" s="18"/>
      <c r="D7" s="18"/>
      <c r="E7" s="36"/>
      <c r="F7" s="18"/>
      <c r="G7" s="10"/>
      <c r="H7" s="19" t="s">
        <v>204</v>
      </c>
      <c r="I7" s="32">
        <v>1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/>
      <c r="B8" s="18"/>
      <c r="C8" s="18"/>
      <c r="D8" s="18"/>
      <c r="E8" s="36"/>
      <c r="F8" s="18"/>
      <c r="G8" s="10"/>
      <c r="H8" s="19" t="s">
        <v>152</v>
      </c>
      <c r="I8" s="32"/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/>
      <c r="B9" s="18"/>
      <c r="C9" s="18"/>
      <c r="D9" s="20"/>
      <c r="E9" s="36"/>
      <c r="F9" s="18"/>
      <c r="G9" s="10"/>
      <c r="H9" s="19" t="s">
        <v>205</v>
      </c>
      <c r="I9" s="32">
        <v>1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/>
      <c r="B10" s="18"/>
      <c r="C10" s="18"/>
      <c r="D10" s="18"/>
      <c r="E10" s="36"/>
      <c r="F10" s="18"/>
      <c r="G10" s="10"/>
      <c r="H10" s="19" t="s">
        <v>206</v>
      </c>
      <c r="I10" s="32">
        <v>1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/>
      <c r="B11" s="18"/>
      <c r="C11" s="18"/>
      <c r="D11" s="18"/>
      <c r="E11" s="36"/>
      <c r="F11" s="18"/>
      <c r="G11" s="10"/>
      <c r="H11" s="19" t="s">
        <v>137</v>
      </c>
      <c r="I11" s="32"/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/>
      <c r="B12" s="18"/>
      <c r="C12" s="18"/>
      <c r="D12" s="18"/>
      <c r="E12" s="20"/>
      <c r="F12" s="18"/>
      <c r="G12" s="10"/>
      <c r="H12" s="19" t="s">
        <v>136</v>
      </c>
      <c r="I12" s="32">
        <v>1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/>
      <c r="B13" s="18"/>
      <c r="C13" s="18"/>
      <c r="D13" s="18"/>
      <c r="E13" s="36"/>
      <c r="F13" s="18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18"/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18"/>
      <c r="G15" s="10"/>
      <c r="H15" s="19" t="s">
        <v>208</v>
      </c>
      <c r="I15" s="32"/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18"/>
      <c r="G16" s="10"/>
      <c r="H16" s="19" t="s">
        <v>139</v>
      </c>
      <c r="I16" s="32"/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18"/>
      <c r="G17" s="10"/>
      <c r="H17" s="19" t="s">
        <v>209</v>
      </c>
      <c r="I17" s="32">
        <v>1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18"/>
      <c r="G18" s="10"/>
      <c r="H18" s="19" t="s">
        <v>210</v>
      </c>
      <c r="I18" s="32">
        <v>1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18"/>
      <c r="G19" s="10"/>
      <c r="H19" s="19" t="s">
        <v>262</v>
      </c>
      <c r="I19" s="32">
        <v>2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18"/>
      <c r="G20" s="10"/>
      <c r="H20" s="19" t="s">
        <v>212</v>
      </c>
      <c r="I20" s="32"/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18"/>
      <c r="G21" s="10"/>
      <c r="H21" s="19" t="s">
        <v>213</v>
      </c>
      <c r="I21" s="32">
        <v>1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18"/>
      <c r="G22" s="10"/>
      <c r="H22" s="19" t="s">
        <v>95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6"/>
      <c r="G23" s="10"/>
      <c r="H23" s="19" t="s">
        <v>214</v>
      </c>
      <c r="I23" s="32">
        <v>1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6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6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6"/>
      <c r="G26" s="10"/>
      <c r="H26" s="19" t="s">
        <v>158</v>
      </c>
      <c r="I26" s="32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6"/>
      <c r="G27" s="10"/>
      <c r="H27" s="19" t="s">
        <v>215</v>
      </c>
      <c r="I27" s="32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217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150</v>
      </c>
      <c r="I32" s="32"/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219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222</v>
      </c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342</v>
      </c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9115-91A1-4188-BC52-F5E20F5EEFB8}">
  <dimension ref="A1:AL1000"/>
  <sheetViews>
    <sheetView topLeftCell="C1" workbookViewId="0">
      <selection activeCell="C1" sqref="A1:XFD1048576"/>
    </sheetView>
  </sheetViews>
  <sheetFormatPr defaultColWidth="12.6328125" defaultRowHeight="12.5"/>
  <cols>
    <col min="1" max="1" width="25.179687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>
        <v>2970</v>
      </c>
      <c r="C2" s="43">
        <v>5346</v>
      </c>
      <c r="D2" s="6"/>
      <c r="E2" s="41">
        <v>1458</v>
      </c>
      <c r="F2" s="18"/>
      <c r="G2" s="10"/>
      <c r="H2" s="19" t="s">
        <v>200</v>
      </c>
      <c r="I2" s="32">
        <v>12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>
        <v>1674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352</v>
      </c>
      <c r="B4" s="18"/>
      <c r="C4" s="18"/>
      <c r="D4" s="20"/>
      <c r="E4" s="36">
        <v>2</v>
      </c>
      <c r="F4" s="18"/>
      <c r="G4" s="10"/>
      <c r="H4" s="19" t="s">
        <v>201</v>
      </c>
      <c r="I4" s="32">
        <v>12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353</v>
      </c>
      <c r="B5" s="18"/>
      <c r="C5" s="18"/>
      <c r="D5" s="20"/>
      <c r="E5" s="36" t="s">
        <v>354</v>
      </c>
      <c r="F5" s="18"/>
      <c r="G5" s="10"/>
      <c r="H5" s="19" t="s">
        <v>202</v>
      </c>
      <c r="I5" s="32">
        <v>6</v>
      </c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9</v>
      </c>
      <c r="B6" s="18"/>
      <c r="C6" s="18"/>
      <c r="D6" s="20"/>
      <c r="E6" s="36" t="s">
        <v>355</v>
      </c>
      <c r="F6" s="18"/>
      <c r="G6" s="10"/>
      <c r="H6" s="19" t="s">
        <v>203</v>
      </c>
      <c r="I6" s="32">
        <v>4</v>
      </c>
      <c r="J6" s="18"/>
      <c r="K6" s="18"/>
      <c r="L6" s="10"/>
      <c r="M6" s="21" t="s">
        <v>124</v>
      </c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28</v>
      </c>
      <c r="B7" s="18"/>
      <c r="C7" s="18"/>
      <c r="D7" s="18"/>
      <c r="E7" s="36" t="s">
        <v>356</v>
      </c>
      <c r="F7" s="18"/>
      <c r="G7" s="10"/>
      <c r="H7" s="19" t="s">
        <v>204</v>
      </c>
      <c r="I7" s="32">
        <v>9</v>
      </c>
      <c r="J7" s="20">
        <v>1</v>
      </c>
      <c r="K7" s="18"/>
      <c r="L7" s="10"/>
      <c r="M7" s="21" t="s">
        <v>363</v>
      </c>
      <c r="N7" s="22"/>
      <c r="O7" s="26"/>
      <c r="P7" s="27"/>
      <c r="Q7" s="44" t="s">
        <v>364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10</v>
      </c>
      <c r="B8" s="18"/>
      <c r="C8" s="18"/>
      <c r="D8" s="18"/>
      <c r="E8" s="36" t="s">
        <v>357</v>
      </c>
      <c r="F8" s="18"/>
      <c r="G8" s="10"/>
      <c r="H8" s="19" t="s">
        <v>152</v>
      </c>
      <c r="I8" s="32">
        <v>3</v>
      </c>
      <c r="J8" s="20">
        <v>1</v>
      </c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358</v>
      </c>
      <c r="B9" s="18"/>
      <c r="C9" s="18"/>
      <c r="D9" s="20"/>
      <c r="E9" s="36" t="s">
        <v>359</v>
      </c>
      <c r="F9" s="18"/>
      <c r="G9" s="10"/>
      <c r="H9" s="19" t="s">
        <v>205</v>
      </c>
      <c r="I9" s="32">
        <v>6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360</v>
      </c>
      <c r="B10" s="18"/>
      <c r="C10" s="18"/>
      <c r="D10" s="18"/>
      <c r="E10" s="36" t="s">
        <v>281</v>
      </c>
      <c r="F10" s="18"/>
      <c r="G10" s="10"/>
      <c r="H10" s="19" t="s">
        <v>206</v>
      </c>
      <c r="I10" s="32">
        <v>6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361</v>
      </c>
      <c r="B11" s="18"/>
      <c r="C11" s="18"/>
      <c r="D11" s="18"/>
      <c r="E11" s="36" t="s">
        <v>362</v>
      </c>
      <c r="F11" s="18"/>
      <c r="G11" s="10"/>
      <c r="H11" s="19" t="s">
        <v>137</v>
      </c>
      <c r="I11" s="32">
        <v>3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365</v>
      </c>
      <c r="B12" s="18"/>
      <c r="C12" s="18"/>
      <c r="D12" s="18"/>
      <c r="E12" s="20"/>
      <c r="F12" s="20">
        <v>1</v>
      </c>
      <c r="G12" s="10"/>
      <c r="H12" s="19" t="s">
        <v>136</v>
      </c>
      <c r="I12" s="32">
        <v>8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366</v>
      </c>
      <c r="B13" s="18"/>
      <c r="C13" s="18"/>
      <c r="D13" s="18"/>
      <c r="E13" s="36"/>
      <c r="F13" s="20">
        <v>2</v>
      </c>
      <c r="G13" s="10"/>
      <c r="H13" s="19" t="s">
        <v>128</v>
      </c>
      <c r="I13" s="32">
        <v>2</v>
      </c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367</v>
      </c>
      <c r="B14" s="18"/>
      <c r="C14" s="18"/>
      <c r="D14" s="18"/>
      <c r="E14" s="36"/>
      <c r="F14" s="20">
        <v>1</v>
      </c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368</v>
      </c>
      <c r="B15" s="18"/>
      <c r="C15" s="18"/>
      <c r="D15" s="6"/>
      <c r="E15" s="36"/>
      <c r="F15" s="20">
        <v>2</v>
      </c>
      <c r="G15" s="10"/>
      <c r="H15" s="19" t="s">
        <v>208</v>
      </c>
      <c r="I15" s="32">
        <v>5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369</v>
      </c>
      <c r="B16" s="18"/>
      <c r="C16" s="18"/>
      <c r="D16" s="18"/>
      <c r="E16" s="36"/>
      <c r="F16" s="20">
        <v>2</v>
      </c>
      <c r="G16" s="10"/>
      <c r="H16" s="19" t="s">
        <v>139</v>
      </c>
      <c r="I16" s="32">
        <v>3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370</v>
      </c>
      <c r="B17" s="18"/>
      <c r="C17" s="18"/>
      <c r="D17" s="18"/>
      <c r="E17" s="36"/>
      <c r="F17" s="20">
        <v>1</v>
      </c>
      <c r="G17" s="10"/>
      <c r="H17" s="19" t="s">
        <v>209</v>
      </c>
      <c r="I17" s="32">
        <v>3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371</v>
      </c>
      <c r="B18" s="6"/>
      <c r="C18" s="18"/>
      <c r="D18" s="18"/>
      <c r="E18" s="36"/>
      <c r="F18" s="20">
        <v>1</v>
      </c>
      <c r="G18" s="10"/>
      <c r="H18" s="19" t="s">
        <v>210</v>
      </c>
      <c r="I18" s="32">
        <v>2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372</v>
      </c>
      <c r="B19" s="6"/>
      <c r="C19" s="18"/>
      <c r="D19" s="18"/>
      <c r="E19" s="32"/>
      <c r="F19" s="20">
        <v>1</v>
      </c>
      <c r="G19" s="10"/>
      <c r="H19" s="19" t="s">
        <v>262</v>
      </c>
      <c r="I19" s="32">
        <v>9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373</v>
      </c>
      <c r="B20" s="18"/>
      <c r="C20" s="18"/>
      <c r="D20" s="6"/>
      <c r="E20" s="36"/>
      <c r="F20" s="20">
        <v>1</v>
      </c>
      <c r="G20" s="10"/>
      <c r="H20" s="19" t="s">
        <v>212</v>
      </c>
      <c r="I20" s="32">
        <v>2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374</v>
      </c>
      <c r="B21" s="18"/>
      <c r="C21" s="18"/>
      <c r="D21" s="6"/>
      <c r="E21" s="36"/>
      <c r="F21" s="20">
        <v>1</v>
      </c>
      <c r="G21" s="10"/>
      <c r="H21" s="19" t="s">
        <v>213</v>
      </c>
      <c r="I21" s="32">
        <v>6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375</v>
      </c>
      <c r="B22" s="18"/>
      <c r="C22" s="18"/>
      <c r="D22" s="18"/>
      <c r="E22" s="36"/>
      <c r="F22" s="20">
        <v>1</v>
      </c>
      <c r="G22" s="10"/>
      <c r="H22" s="19" t="s">
        <v>95</v>
      </c>
      <c r="I22" s="32">
        <v>4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376</v>
      </c>
      <c r="B23" s="18"/>
      <c r="C23" s="18"/>
      <c r="D23" s="18"/>
      <c r="E23" s="32"/>
      <c r="F23" s="20">
        <v>1</v>
      </c>
      <c r="G23" s="10"/>
      <c r="H23" s="19" t="s">
        <v>214</v>
      </c>
      <c r="I23" s="32">
        <v>4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377</v>
      </c>
      <c r="B24" s="18"/>
      <c r="C24" s="18"/>
      <c r="D24" s="18"/>
      <c r="E24" s="32"/>
      <c r="F24" s="20">
        <v>1</v>
      </c>
      <c r="G24" s="10"/>
      <c r="H24" s="19" t="s">
        <v>113</v>
      </c>
      <c r="I24" s="32">
        <v>2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379</v>
      </c>
      <c r="B25" s="18"/>
      <c r="C25" s="18"/>
      <c r="D25" s="18"/>
      <c r="E25" s="32" t="s">
        <v>271</v>
      </c>
      <c r="F25" s="20"/>
      <c r="G25" s="10"/>
      <c r="H25" s="19" t="s">
        <v>130</v>
      </c>
      <c r="I25" s="32">
        <v>6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380</v>
      </c>
      <c r="B26" s="18"/>
      <c r="C26" s="18"/>
      <c r="D26" s="18"/>
      <c r="E26" s="32" t="s">
        <v>381</v>
      </c>
      <c r="F26" s="20"/>
      <c r="G26" s="10"/>
      <c r="H26" s="19" t="s">
        <v>158</v>
      </c>
      <c r="I26" s="32">
        <v>9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382</v>
      </c>
      <c r="B27" s="18"/>
      <c r="C27" s="18"/>
      <c r="D27" s="18"/>
      <c r="E27" s="32" t="s">
        <v>362</v>
      </c>
      <c r="F27" s="20"/>
      <c r="G27" s="10"/>
      <c r="H27" s="19" t="s">
        <v>215</v>
      </c>
      <c r="I27" s="32">
        <v>4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249</v>
      </c>
      <c r="B28" s="18"/>
      <c r="C28" s="18"/>
      <c r="D28" s="18"/>
      <c r="E28" s="32" t="s">
        <v>383</v>
      </c>
      <c r="F28" s="6"/>
      <c r="G28" s="10"/>
      <c r="H28" s="19" t="s">
        <v>216</v>
      </c>
      <c r="I28" s="32">
        <v>5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384</v>
      </c>
      <c r="B29" s="18"/>
      <c r="C29" s="18"/>
      <c r="D29" s="18"/>
      <c r="E29" s="32" t="s">
        <v>271</v>
      </c>
      <c r="F29" s="6"/>
      <c r="G29" s="10"/>
      <c r="H29" s="19" t="s">
        <v>154</v>
      </c>
      <c r="I29" s="32">
        <v>1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>
        <v>4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217</v>
      </c>
      <c r="I31" s="32">
        <v>3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150</v>
      </c>
      <c r="I32" s="32"/>
      <c r="J32" s="20">
        <v>1</v>
      </c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219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220</v>
      </c>
      <c r="I35" s="32"/>
      <c r="J35" s="20">
        <v>1</v>
      </c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20">
        <v>1</v>
      </c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222</v>
      </c>
      <c r="I37" s="32">
        <v>8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342</v>
      </c>
      <c r="I39" s="32">
        <v>2</v>
      </c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 t="s">
        <v>378</v>
      </c>
      <c r="I40" s="32">
        <v>2</v>
      </c>
      <c r="J40" s="20">
        <v>1</v>
      </c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E3C3-528A-4F9B-9F98-F685767A1F57}">
  <dimension ref="A1:AL1000"/>
  <sheetViews>
    <sheetView topLeftCell="D1" zoomScale="91" zoomScaleNormal="91" workbookViewId="0">
      <selection activeCell="J15" sqref="J15"/>
    </sheetView>
  </sheetViews>
  <sheetFormatPr defaultColWidth="12.6328125" defaultRowHeight="12.5"/>
  <cols>
    <col min="1" max="1" width="25.179687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>
        <v>2736</v>
      </c>
      <c r="C2" s="43">
        <v>5850</v>
      </c>
      <c r="D2" s="6"/>
      <c r="E2" s="41">
        <v>1296</v>
      </c>
      <c r="F2" s="18"/>
      <c r="G2" s="10"/>
      <c r="H2" s="19" t="s">
        <v>200</v>
      </c>
      <c r="I2" s="32">
        <v>4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>
        <v>1836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303</v>
      </c>
      <c r="B4" s="18"/>
      <c r="C4" s="18"/>
      <c r="D4" s="20"/>
      <c r="E4" s="36">
        <v>281</v>
      </c>
      <c r="F4" s="18"/>
      <c r="G4" s="10"/>
      <c r="H4" s="19" t="s">
        <v>201</v>
      </c>
      <c r="I4" s="32">
        <v>13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398</v>
      </c>
      <c r="B5" s="18"/>
      <c r="C5" s="18"/>
      <c r="D5" s="20"/>
      <c r="E5" s="36">
        <v>200</v>
      </c>
      <c r="F5" s="18"/>
      <c r="G5" s="10"/>
      <c r="H5" s="19" t="s">
        <v>202</v>
      </c>
      <c r="I5" s="32">
        <v>6</v>
      </c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399</v>
      </c>
      <c r="B6" s="18"/>
      <c r="C6" s="18"/>
      <c r="D6" s="20"/>
      <c r="E6" s="36">
        <v>385</v>
      </c>
      <c r="F6" s="18"/>
      <c r="G6" s="10"/>
      <c r="H6" s="19" t="s">
        <v>203</v>
      </c>
      <c r="I6" s="32">
        <v>6</v>
      </c>
      <c r="J6" s="18"/>
      <c r="K6" s="18"/>
      <c r="L6" s="10"/>
      <c r="M6" s="21" t="s">
        <v>124</v>
      </c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316</v>
      </c>
      <c r="B7" s="18"/>
      <c r="C7" s="18"/>
      <c r="D7" s="18"/>
      <c r="E7" s="36">
        <v>200</v>
      </c>
      <c r="F7" s="18"/>
      <c r="G7" s="10"/>
      <c r="H7" s="19" t="s">
        <v>204</v>
      </c>
      <c r="I7" s="32">
        <v>4</v>
      </c>
      <c r="J7" s="20"/>
      <c r="K7" s="18"/>
      <c r="L7" s="10"/>
      <c r="M7" s="21" t="s">
        <v>363</v>
      </c>
      <c r="N7" s="22"/>
      <c r="O7" s="26"/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400</v>
      </c>
      <c r="B8" s="18"/>
      <c r="C8" s="18"/>
      <c r="D8" s="18"/>
      <c r="E8" s="36">
        <f>360+180+180+180+180</f>
        <v>1080</v>
      </c>
      <c r="F8" s="18"/>
      <c r="G8" s="10"/>
      <c r="H8" s="19" t="s">
        <v>152</v>
      </c>
      <c r="I8" s="32">
        <v>2</v>
      </c>
      <c r="J8" s="20"/>
      <c r="K8" s="18"/>
      <c r="L8" s="10"/>
      <c r="M8" s="21" t="s">
        <v>288</v>
      </c>
      <c r="N8" s="22"/>
      <c r="O8" s="26">
        <v>500</v>
      </c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401</v>
      </c>
      <c r="B9" s="18"/>
      <c r="C9" s="18"/>
      <c r="D9" s="20"/>
      <c r="E9" s="36">
        <v>1</v>
      </c>
      <c r="F9" s="18"/>
      <c r="G9" s="10"/>
      <c r="H9" s="19" t="s">
        <v>205</v>
      </c>
      <c r="I9" s="32">
        <v>6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402</v>
      </c>
      <c r="B10" s="18"/>
      <c r="C10" s="18"/>
      <c r="D10" s="18"/>
      <c r="E10" s="36">
        <v>1</v>
      </c>
      <c r="F10" s="18"/>
      <c r="G10" s="10"/>
      <c r="H10" s="19" t="s">
        <v>206</v>
      </c>
      <c r="I10" s="32">
        <v>7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403</v>
      </c>
      <c r="B11" s="18"/>
      <c r="C11" s="18"/>
      <c r="D11" s="18"/>
      <c r="E11" s="36">
        <v>2</v>
      </c>
      <c r="F11" s="18"/>
      <c r="G11" s="10"/>
      <c r="H11" s="19" t="s">
        <v>137</v>
      </c>
      <c r="I11" s="32">
        <v>5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404</v>
      </c>
      <c r="B12" s="18"/>
      <c r="C12" s="18"/>
      <c r="D12" s="18"/>
      <c r="E12" s="45">
        <v>1066</v>
      </c>
      <c r="F12" s="20"/>
      <c r="G12" s="10"/>
      <c r="H12" s="19" t="s">
        <v>136</v>
      </c>
      <c r="I12" s="32"/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405</v>
      </c>
      <c r="B13" s="18"/>
      <c r="C13" s="18"/>
      <c r="D13" s="18"/>
      <c r="E13" s="41">
        <v>1754</v>
      </c>
      <c r="F13" s="20"/>
      <c r="G13" s="10"/>
      <c r="H13" s="19" t="s">
        <v>128</v>
      </c>
      <c r="I13" s="32">
        <v>8</v>
      </c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406</v>
      </c>
      <c r="B14" s="18"/>
      <c r="C14" s="18"/>
      <c r="D14" s="18"/>
      <c r="E14" s="36">
        <f>360+360+360+360</f>
        <v>1440</v>
      </c>
      <c r="F14" s="20"/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407</v>
      </c>
      <c r="B15" s="18"/>
      <c r="C15" s="18"/>
      <c r="D15" s="6"/>
      <c r="E15" s="36">
        <f>360+360+360+360</f>
        <v>1440</v>
      </c>
      <c r="F15" s="20"/>
      <c r="G15" s="10"/>
      <c r="H15" s="19" t="s">
        <v>208</v>
      </c>
      <c r="I15" s="32">
        <v>5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408</v>
      </c>
      <c r="B16" s="18"/>
      <c r="C16" s="18"/>
      <c r="D16" s="18"/>
      <c r="E16" s="36">
        <v>342</v>
      </c>
      <c r="F16" s="20"/>
      <c r="G16" s="10"/>
      <c r="H16" s="19" t="s">
        <v>139</v>
      </c>
      <c r="I16" s="32"/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409</v>
      </c>
      <c r="B17" s="18"/>
      <c r="C17" s="18"/>
      <c r="D17" s="18"/>
      <c r="E17" s="36">
        <v>800</v>
      </c>
      <c r="F17" s="20"/>
      <c r="G17" s="10"/>
      <c r="H17" s="19" t="s">
        <v>209</v>
      </c>
      <c r="I17" s="32"/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410</v>
      </c>
      <c r="B18" s="6"/>
      <c r="C18" s="18"/>
      <c r="D18" s="18"/>
      <c r="E18" s="36">
        <v>225</v>
      </c>
      <c r="F18" s="20"/>
      <c r="G18" s="10"/>
      <c r="H18" s="19" t="s">
        <v>210</v>
      </c>
      <c r="I18" s="32">
        <v>4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20"/>
      <c r="G19" s="10"/>
      <c r="H19" s="19" t="s">
        <v>262</v>
      </c>
      <c r="I19" s="32"/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20"/>
      <c r="G20" s="10"/>
      <c r="H20" s="19" t="s">
        <v>212</v>
      </c>
      <c r="I20" s="32">
        <v>3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20"/>
      <c r="G21" s="10"/>
      <c r="H21" s="19" t="s">
        <v>213</v>
      </c>
      <c r="I21" s="32">
        <v>5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20"/>
      <c r="G22" s="10"/>
      <c r="H22" s="19" t="s">
        <v>95</v>
      </c>
      <c r="I22" s="32">
        <v>7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20"/>
      <c r="G23" s="10"/>
      <c r="H23" s="19" t="s">
        <v>214</v>
      </c>
      <c r="I23" s="32">
        <v>2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20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20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20"/>
      <c r="G26" s="10"/>
      <c r="H26" s="19" t="s">
        <v>158</v>
      </c>
      <c r="I26" s="32">
        <v>8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20"/>
      <c r="G27" s="10"/>
      <c r="H27" s="19" t="s">
        <v>215</v>
      </c>
      <c r="I27" s="32">
        <v>3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>
        <v>3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>
        <v>4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>
        <v>4</v>
      </c>
      <c r="J30" s="18">
        <v>2</v>
      </c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217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150</v>
      </c>
      <c r="I32" s="32">
        <v>4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219</v>
      </c>
      <c r="I34" s="32">
        <v>3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220</v>
      </c>
      <c r="I35" s="32">
        <v>2</v>
      </c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222</v>
      </c>
      <c r="I37" s="32">
        <v>8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342</v>
      </c>
      <c r="I39" s="32">
        <v>2</v>
      </c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 t="s">
        <v>378</v>
      </c>
      <c r="I40" s="32">
        <v>11</v>
      </c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 t="s">
        <v>385</v>
      </c>
      <c r="I41" s="32">
        <v>6</v>
      </c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 t="s">
        <v>149</v>
      </c>
      <c r="I42" s="32">
        <v>2</v>
      </c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D98B-2F6D-439C-8952-178450ADCB3E}">
  <dimension ref="A1:AL1000"/>
  <sheetViews>
    <sheetView workbookViewId="0">
      <selection sqref="A1:XFD1048576"/>
    </sheetView>
  </sheetViews>
  <sheetFormatPr defaultColWidth="12.6328125" defaultRowHeight="12.5"/>
  <cols>
    <col min="1" max="1" width="25.179687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>
        <v>360</v>
      </c>
      <c r="C2" s="43">
        <v>810</v>
      </c>
      <c r="D2" s="6"/>
      <c r="E2" s="41">
        <v>162</v>
      </c>
      <c r="F2" s="18"/>
      <c r="G2" s="10"/>
      <c r="H2" s="19" t="s">
        <v>200</v>
      </c>
      <c r="I2" s="32"/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>
        <v>198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386</v>
      </c>
      <c r="B4" s="18"/>
      <c r="C4" s="18"/>
      <c r="D4" s="20"/>
      <c r="E4" s="36" t="s">
        <v>281</v>
      </c>
      <c r="F4" s="18"/>
      <c r="G4" s="10"/>
      <c r="H4" s="19" t="s">
        <v>201</v>
      </c>
      <c r="I4" s="32"/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387</v>
      </c>
      <c r="B5" s="18"/>
      <c r="C5" s="18"/>
      <c r="D5" s="20"/>
      <c r="E5" s="36" t="s">
        <v>281</v>
      </c>
      <c r="F5" s="18"/>
      <c r="G5" s="10"/>
      <c r="H5" s="19" t="s">
        <v>202</v>
      </c>
      <c r="I5" s="32"/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388</v>
      </c>
      <c r="B6" s="18"/>
      <c r="C6" s="18"/>
      <c r="D6" s="20"/>
      <c r="E6" s="36" t="s">
        <v>281</v>
      </c>
      <c r="F6" s="18"/>
      <c r="G6" s="10"/>
      <c r="H6" s="19" t="s">
        <v>203</v>
      </c>
      <c r="I6" s="32"/>
      <c r="J6" s="18"/>
      <c r="K6" s="18"/>
      <c r="L6" s="10"/>
      <c r="M6" s="21" t="s">
        <v>124</v>
      </c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376</v>
      </c>
      <c r="B7" s="18"/>
      <c r="C7" s="18"/>
      <c r="D7" s="18"/>
      <c r="E7" s="36" t="s">
        <v>389</v>
      </c>
      <c r="F7" s="18"/>
      <c r="G7" s="10"/>
      <c r="H7" s="19" t="s">
        <v>204</v>
      </c>
      <c r="I7" s="32"/>
      <c r="J7" s="20"/>
      <c r="K7" s="18"/>
      <c r="L7" s="10"/>
      <c r="M7" s="21" t="s">
        <v>363</v>
      </c>
      <c r="N7" s="22"/>
      <c r="O7" s="26"/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390</v>
      </c>
      <c r="B8" s="18"/>
      <c r="C8" s="18"/>
      <c r="D8" s="18"/>
      <c r="E8" s="36" t="s">
        <v>391</v>
      </c>
      <c r="F8" s="18"/>
      <c r="G8" s="10"/>
      <c r="H8" s="19" t="s">
        <v>152</v>
      </c>
      <c r="I8" s="32"/>
      <c r="J8" s="20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392</v>
      </c>
      <c r="B9" s="18"/>
      <c r="C9" s="18"/>
      <c r="D9" s="20"/>
      <c r="E9" s="36" t="s">
        <v>354</v>
      </c>
      <c r="F9" s="18"/>
      <c r="G9" s="10"/>
      <c r="H9" s="19" t="s">
        <v>205</v>
      </c>
      <c r="I9" s="32"/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393</v>
      </c>
      <c r="B10" s="18"/>
      <c r="C10" s="18"/>
      <c r="D10" s="18"/>
      <c r="E10" s="36" t="s">
        <v>271</v>
      </c>
      <c r="F10" s="18"/>
      <c r="G10" s="10"/>
      <c r="H10" s="19" t="s">
        <v>206</v>
      </c>
      <c r="I10" s="32"/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394</v>
      </c>
      <c r="B11" s="18"/>
      <c r="C11" s="18"/>
      <c r="D11" s="18"/>
      <c r="E11" s="36" t="s">
        <v>395</v>
      </c>
      <c r="F11" s="18"/>
      <c r="G11" s="10"/>
      <c r="H11" s="19" t="s">
        <v>137</v>
      </c>
      <c r="I11" s="32"/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396</v>
      </c>
      <c r="B12" s="18"/>
      <c r="C12" s="18"/>
      <c r="D12" s="18"/>
      <c r="E12" s="20" t="s">
        <v>395</v>
      </c>
      <c r="F12" s="20"/>
      <c r="G12" s="10"/>
      <c r="H12" s="19" t="s">
        <v>136</v>
      </c>
      <c r="I12" s="32"/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397</v>
      </c>
      <c r="B13" s="18"/>
      <c r="C13" s="18"/>
      <c r="D13" s="18"/>
      <c r="E13" s="36" t="s">
        <v>271</v>
      </c>
      <c r="F13" s="20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20"/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20"/>
      <c r="G15" s="10"/>
      <c r="H15" s="19" t="s">
        <v>208</v>
      </c>
      <c r="I15" s="32"/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20"/>
      <c r="G16" s="10"/>
      <c r="H16" s="19" t="s">
        <v>139</v>
      </c>
      <c r="I16" s="32"/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20"/>
      <c r="G17" s="10"/>
      <c r="H17" s="19" t="s">
        <v>209</v>
      </c>
      <c r="I17" s="32"/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20"/>
      <c r="G18" s="10"/>
      <c r="H18" s="19" t="s">
        <v>210</v>
      </c>
      <c r="I18" s="32"/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20"/>
      <c r="G19" s="10"/>
      <c r="H19" s="19" t="s">
        <v>262</v>
      </c>
      <c r="I19" s="32"/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20"/>
      <c r="G20" s="10"/>
      <c r="H20" s="19" t="s">
        <v>212</v>
      </c>
      <c r="I20" s="32">
        <v>1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20"/>
      <c r="G21" s="10"/>
      <c r="H21" s="19" t="s">
        <v>213</v>
      </c>
      <c r="I21" s="32">
        <v>1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20"/>
      <c r="G22" s="10"/>
      <c r="H22" s="19" t="s">
        <v>95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20"/>
      <c r="G23" s="10"/>
      <c r="H23" s="19" t="s">
        <v>214</v>
      </c>
      <c r="I23" s="32">
        <v>1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20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20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20"/>
      <c r="G26" s="10"/>
      <c r="H26" s="19" t="s">
        <v>158</v>
      </c>
      <c r="I26" s="32">
        <v>1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20"/>
      <c r="G27" s="10"/>
      <c r="H27" s="19" t="s">
        <v>215</v>
      </c>
      <c r="I27" s="32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>
        <v>1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>
        <v>1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217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150</v>
      </c>
      <c r="I32" s="32"/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219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220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222</v>
      </c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342</v>
      </c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 t="s">
        <v>378</v>
      </c>
      <c r="I40" s="32">
        <v>2</v>
      </c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 t="s">
        <v>385</v>
      </c>
      <c r="I41" s="32">
        <v>1</v>
      </c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F526-BB91-4F35-9412-B44B1FD1D8B2}">
  <dimension ref="A1:AL1000"/>
  <sheetViews>
    <sheetView topLeftCell="I1" workbookViewId="0">
      <selection activeCell="H1" sqref="A1:H1048576"/>
    </sheetView>
  </sheetViews>
  <sheetFormatPr defaultColWidth="12.6328125" defaultRowHeight="12.5"/>
  <cols>
    <col min="1" max="1" width="25.1796875" customWidth="1"/>
    <col min="2" max="4" width="12.6328125" customWidth="1"/>
    <col min="5" max="5" width="12.6328125" style="39" customWidth="1"/>
    <col min="6" max="7" width="12.6328125" customWidth="1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>
        <v>4122</v>
      </c>
      <c r="C2" s="43" t="s">
        <v>439</v>
      </c>
      <c r="D2" s="6"/>
      <c r="E2" s="41" t="s">
        <v>440</v>
      </c>
      <c r="F2" s="18"/>
      <c r="G2" s="10"/>
      <c r="H2" s="19" t="s">
        <v>200</v>
      </c>
      <c r="I2" s="47">
        <v>9</v>
      </c>
      <c r="J2" s="18"/>
      <c r="K2" s="20"/>
      <c r="L2" s="10"/>
      <c r="M2" s="21" t="s">
        <v>106</v>
      </c>
      <c r="N2" s="22"/>
      <c r="O2" s="40" t="s">
        <v>414</v>
      </c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438</v>
      </c>
      <c r="C3" s="18"/>
      <c r="D3" s="6"/>
      <c r="E3" s="36"/>
      <c r="F3" s="6"/>
      <c r="G3" s="10"/>
      <c r="H3" s="19" t="s">
        <v>201</v>
      </c>
      <c r="I3" s="47">
        <v>9</v>
      </c>
      <c r="J3" s="20"/>
      <c r="K3" s="18"/>
      <c r="L3" s="10"/>
      <c r="M3" s="21" t="s">
        <v>411</v>
      </c>
      <c r="N3" s="22"/>
      <c r="O3" s="23" t="s">
        <v>412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441</v>
      </c>
      <c r="B4" s="18" t="s">
        <v>456</v>
      </c>
      <c r="C4" s="18"/>
      <c r="D4" s="20"/>
      <c r="E4" s="36" t="s">
        <v>442</v>
      </c>
      <c r="F4" s="18"/>
      <c r="G4" s="10"/>
      <c r="H4" s="19" t="s">
        <v>202</v>
      </c>
      <c r="I4" s="47">
        <v>7</v>
      </c>
      <c r="J4" s="20"/>
      <c r="K4" s="18"/>
      <c r="L4" s="10"/>
      <c r="M4" s="21" t="s">
        <v>191</v>
      </c>
      <c r="N4" s="22"/>
      <c r="O4" s="23" t="s">
        <v>413</v>
      </c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447</v>
      </c>
      <c r="B5" s="18"/>
      <c r="C5" s="18"/>
      <c r="D5" s="20"/>
      <c r="E5" s="36" t="s">
        <v>457</v>
      </c>
      <c r="F5" s="18"/>
      <c r="G5" s="10"/>
      <c r="H5" s="19" t="s">
        <v>203</v>
      </c>
      <c r="I5" s="47">
        <v>5</v>
      </c>
      <c r="J5" s="18"/>
      <c r="K5" s="18"/>
      <c r="L5" s="10"/>
      <c r="M5" s="21" t="s">
        <v>415</v>
      </c>
      <c r="N5" s="22"/>
      <c r="O5" s="23" t="s">
        <v>383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443</v>
      </c>
      <c r="B6" s="18"/>
      <c r="C6" s="18"/>
      <c r="D6" s="20"/>
      <c r="E6" s="36" t="s">
        <v>458</v>
      </c>
      <c r="F6" s="18"/>
      <c r="G6" s="10"/>
      <c r="H6" s="19" t="s">
        <v>204</v>
      </c>
      <c r="I6" s="32"/>
      <c r="J6" s="18"/>
      <c r="K6" s="18"/>
      <c r="L6" s="10"/>
      <c r="M6" s="21" t="s">
        <v>416</v>
      </c>
      <c r="N6" s="22"/>
      <c r="O6" s="23" t="s">
        <v>417</v>
      </c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444</v>
      </c>
      <c r="B7" s="18"/>
      <c r="C7" s="18"/>
      <c r="D7" s="18"/>
      <c r="E7" s="36" t="s">
        <v>459</v>
      </c>
      <c r="F7" s="18"/>
      <c r="G7" s="10"/>
      <c r="H7" s="19" t="s">
        <v>152</v>
      </c>
      <c r="I7" s="47">
        <v>4</v>
      </c>
      <c r="J7" s="20"/>
      <c r="K7" s="18"/>
      <c r="L7" s="10"/>
      <c r="M7" s="21" t="s">
        <v>418</v>
      </c>
      <c r="N7" s="22"/>
      <c r="O7" s="42" t="s">
        <v>364</v>
      </c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445</v>
      </c>
      <c r="B8" s="18"/>
      <c r="C8" s="18"/>
      <c r="D8" s="18"/>
      <c r="E8" s="36" t="s">
        <v>454</v>
      </c>
      <c r="F8" s="18"/>
      <c r="G8" s="10"/>
      <c r="H8" s="19" t="s">
        <v>205</v>
      </c>
      <c r="I8" s="47">
        <v>8</v>
      </c>
      <c r="J8" s="20"/>
      <c r="K8" s="18"/>
      <c r="L8" s="10"/>
      <c r="M8" s="21" t="s">
        <v>419</v>
      </c>
      <c r="N8" s="22"/>
      <c r="O8" s="26"/>
      <c r="P8" s="27">
        <v>1</v>
      </c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282</v>
      </c>
      <c r="B9" s="18"/>
      <c r="C9" s="18"/>
      <c r="D9" s="20"/>
      <c r="E9" s="36" t="s">
        <v>455</v>
      </c>
      <c r="F9" s="18"/>
      <c r="G9" s="10"/>
      <c r="H9" s="19" t="s">
        <v>206</v>
      </c>
      <c r="I9" s="47">
        <v>8</v>
      </c>
      <c r="J9" s="18"/>
      <c r="K9" s="18"/>
      <c r="L9" s="10"/>
      <c r="M9" s="21" t="s">
        <v>420</v>
      </c>
      <c r="N9" s="22"/>
      <c r="O9" s="26"/>
      <c r="P9" s="27">
        <v>1</v>
      </c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446</v>
      </c>
      <c r="B10" s="18"/>
      <c r="C10" s="18"/>
      <c r="D10" s="18"/>
      <c r="E10" s="36" t="s">
        <v>260</v>
      </c>
      <c r="F10" s="18"/>
      <c r="G10" s="10"/>
      <c r="H10" s="19" t="s">
        <v>137</v>
      </c>
      <c r="I10" s="47">
        <v>8</v>
      </c>
      <c r="J10" s="18"/>
      <c r="K10" s="18"/>
      <c r="L10" s="10"/>
      <c r="M10" s="28" t="s">
        <v>421</v>
      </c>
      <c r="N10" s="22"/>
      <c r="O10" s="26"/>
      <c r="P10" s="27">
        <v>1</v>
      </c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448</v>
      </c>
      <c r="B11" s="18"/>
      <c r="C11" s="18"/>
      <c r="D11" s="18"/>
      <c r="E11" s="36" t="s">
        <v>449</v>
      </c>
      <c r="F11" s="18"/>
      <c r="G11" s="10"/>
      <c r="H11" s="19" t="s">
        <v>136</v>
      </c>
      <c r="I11" s="47">
        <v>4</v>
      </c>
      <c r="J11" s="18"/>
      <c r="K11" s="18"/>
      <c r="L11" s="10"/>
      <c r="M11" s="21" t="s">
        <v>422</v>
      </c>
      <c r="N11" s="22"/>
      <c r="O11" s="26"/>
      <c r="P11" s="27">
        <v>1</v>
      </c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450</v>
      </c>
      <c r="B12" s="18"/>
      <c r="C12" s="18"/>
      <c r="D12" s="18"/>
      <c r="E12" s="20" t="s">
        <v>463</v>
      </c>
      <c r="F12" s="20"/>
      <c r="G12" s="10"/>
      <c r="H12" s="19" t="s">
        <v>128</v>
      </c>
      <c r="I12" s="47">
        <v>3</v>
      </c>
      <c r="J12" s="18"/>
      <c r="K12" s="18"/>
      <c r="L12" s="10"/>
      <c r="M12" s="21" t="s">
        <v>423</v>
      </c>
      <c r="N12" s="22"/>
      <c r="O12" s="26"/>
      <c r="P12" s="27">
        <v>1</v>
      </c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452</v>
      </c>
      <c r="B13" s="18"/>
      <c r="C13" s="18"/>
      <c r="D13" s="18"/>
      <c r="E13" s="36" t="s">
        <v>451</v>
      </c>
      <c r="F13" s="20"/>
      <c r="G13" s="10"/>
      <c r="H13" s="19" t="s">
        <v>207</v>
      </c>
      <c r="I13" s="32"/>
      <c r="J13" s="18"/>
      <c r="K13" s="18"/>
      <c r="L13" s="10"/>
      <c r="M13" s="21" t="s">
        <v>424</v>
      </c>
      <c r="N13" s="22"/>
      <c r="O13" s="26"/>
      <c r="P13" s="27"/>
      <c r="Q13" s="44">
        <v>2</v>
      </c>
      <c r="R13" s="10" t="s">
        <v>437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453</v>
      </c>
      <c r="B14" s="18"/>
      <c r="C14" s="18"/>
      <c r="D14" s="18"/>
      <c r="E14" s="36" t="s">
        <v>464</v>
      </c>
      <c r="F14" s="20"/>
      <c r="G14" s="10"/>
      <c r="H14" s="19" t="s">
        <v>208</v>
      </c>
      <c r="I14" s="47">
        <v>15</v>
      </c>
      <c r="J14" s="18"/>
      <c r="K14" s="18"/>
      <c r="L14" s="10"/>
      <c r="M14" s="21" t="s">
        <v>425</v>
      </c>
      <c r="N14" s="22"/>
      <c r="O14" s="26"/>
      <c r="P14" s="27"/>
      <c r="Q14" s="46" t="s">
        <v>426</v>
      </c>
      <c r="R14" s="10" t="s">
        <v>437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460</v>
      </c>
      <c r="B15" s="18"/>
      <c r="C15" s="18"/>
      <c r="D15" s="6"/>
      <c r="E15" s="36" t="s">
        <v>451</v>
      </c>
      <c r="F15" s="20"/>
      <c r="G15" s="10"/>
      <c r="H15" s="19" t="s">
        <v>139</v>
      </c>
      <c r="I15" s="32"/>
      <c r="J15" s="18"/>
      <c r="K15" s="18"/>
      <c r="L15" s="10"/>
      <c r="M15" s="21" t="s">
        <v>427</v>
      </c>
      <c r="N15" s="22"/>
      <c r="O15" s="26"/>
      <c r="P15" s="27"/>
      <c r="Q15" s="44" t="s">
        <v>428</v>
      </c>
      <c r="R15" s="10" t="s">
        <v>437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461</v>
      </c>
      <c r="B16" s="18" t="s">
        <v>462</v>
      </c>
      <c r="C16" s="18"/>
      <c r="D16" s="18"/>
      <c r="E16" s="36"/>
      <c r="F16" s="20"/>
      <c r="G16" s="10"/>
      <c r="H16" s="19" t="s">
        <v>209</v>
      </c>
      <c r="I16" s="32"/>
      <c r="J16" s="20"/>
      <c r="K16" s="18"/>
      <c r="L16" s="10"/>
      <c r="M16" s="21" t="s">
        <v>429</v>
      </c>
      <c r="N16" s="22"/>
      <c r="O16" s="26"/>
      <c r="P16" s="27"/>
      <c r="Q16" s="44" t="s">
        <v>430</v>
      </c>
      <c r="R16" s="10" t="s">
        <v>437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416</v>
      </c>
      <c r="B17" s="18"/>
      <c r="C17" s="18"/>
      <c r="D17" s="18"/>
      <c r="E17" s="36" t="s">
        <v>442</v>
      </c>
      <c r="F17" s="20"/>
      <c r="G17" s="10"/>
      <c r="H17" s="19" t="s">
        <v>210</v>
      </c>
      <c r="I17" s="47">
        <v>3</v>
      </c>
      <c r="J17" s="18"/>
      <c r="K17" s="18"/>
      <c r="L17" s="10"/>
      <c r="M17" s="21" t="s">
        <v>431</v>
      </c>
      <c r="N17" s="22"/>
      <c r="O17" s="26"/>
      <c r="P17" s="27"/>
      <c r="Q17" s="44">
        <v>2</v>
      </c>
      <c r="R17" s="10" t="s">
        <v>437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28</v>
      </c>
      <c r="B18" s="6"/>
      <c r="C18" s="18"/>
      <c r="D18" s="18"/>
      <c r="E18" s="36" t="s">
        <v>465</v>
      </c>
      <c r="F18" s="20"/>
      <c r="G18" s="10"/>
      <c r="H18" s="19" t="s">
        <v>262</v>
      </c>
      <c r="I18" s="32"/>
      <c r="J18" s="18"/>
      <c r="K18" s="18"/>
      <c r="L18" s="10"/>
      <c r="M18" s="21" t="s">
        <v>432</v>
      </c>
      <c r="N18" s="22"/>
      <c r="O18" s="26"/>
      <c r="P18" s="24"/>
      <c r="Q18" s="29" t="s">
        <v>426</v>
      </c>
      <c r="R18" s="10" t="s">
        <v>437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467</v>
      </c>
      <c r="B19" s="18"/>
      <c r="C19" s="18"/>
      <c r="D19" s="6"/>
      <c r="E19" s="36" t="s">
        <v>468</v>
      </c>
      <c r="F19" s="20"/>
      <c r="G19" s="10"/>
      <c r="H19" s="19" t="s">
        <v>212</v>
      </c>
      <c r="I19" s="47">
        <v>5</v>
      </c>
      <c r="J19" s="18"/>
      <c r="K19" s="18"/>
      <c r="L19" s="10"/>
      <c r="M19" s="19" t="s">
        <v>433</v>
      </c>
      <c r="N19" s="22"/>
      <c r="O19" s="26"/>
      <c r="P19" s="24"/>
      <c r="Q19" s="44" t="s">
        <v>434</v>
      </c>
      <c r="R19" s="10" t="s">
        <v>437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469</v>
      </c>
      <c r="B20" s="18"/>
      <c r="C20" s="18"/>
      <c r="D20" s="6"/>
      <c r="E20" s="36" t="s">
        <v>271</v>
      </c>
      <c r="F20" s="20"/>
      <c r="G20" s="10"/>
      <c r="H20" s="19" t="s">
        <v>213</v>
      </c>
      <c r="I20" s="47">
        <v>6</v>
      </c>
      <c r="J20" s="18"/>
      <c r="K20" s="18"/>
      <c r="L20" s="10"/>
      <c r="M20" s="19" t="s">
        <v>435</v>
      </c>
      <c r="N20" s="22"/>
      <c r="O20" s="26"/>
      <c r="P20" s="24"/>
      <c r="Q20" s="44" t="s">
        <v>436</v>
      </c>
      <c r="R20" s="10" t="s">
        <v>437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471</v>
      </c>
      <c r="B21" s="18"/>
      <c r="C21" s="18"/>
      <c r="D21" s="18"/>
      <c r="E21" s="36">
        <v>15</v>
      </c>
      <c r="F21" s="20" t="s">
        <v>472</v>
      </c>
      <c r="G21" s="10"/>
      <c r="H21" s="19" t="s">
        <v>95</v>
      </c>
      <c r="I21" s="47">
        <v>7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20"/>
      <c r="G22" s="10"/>
      <c r="H22" s="19" t="s">
        <v>214</v>
      </c>
      <c r="I22" s="47">
        <v>3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20"/>
      <c r="G23" s="10"/>
      <c r="H23" s="19" t="s">
        <v>113</v>
      </c>
      <c r="I23" s="47">
        <v>3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20"/>
      <c r="G24" s="10"/>
      <c r="H24" s="19" t="s">
        <v>130</v>
      </c>
      <c r="I24" s="47">
        <v>2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20"/>
      <c r="G25" s="10"/>
      <c r="H25" s="19" t="s">
        <v>158</v>
      </c>
      <c r="I25" s="47">
        <v>6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20"/>
      <c r="G26" s="10"/>
      <c r="H26" s="19" t="s">
        <v>215</v>
      </c>
      <c r="I26" s="47">
        <v>5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20"/>
      <c r="G27" s="10"/>
      <c r="H27" s="19" t="s">
        <v>216</v>
      </c>
      <c r="I27" s="47">
        <v>4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154</v>
      </c>
      <c r="I28" s="47">
        <v>2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145</v>
      </c>
      <c r="I29" s="47">
        <v>2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217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6"/>
      <c r="G31" s="10"/>
      <c r="H31" s="19" t="s">
        <v>150</v>
      </c>
      <c r="I31" s="47">
        <v>9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6"/>
      <c r="G32" s="10"/>
      <c r="H32" s="19" t="s">
        <v>218</v>
      </c>
      <c r="I32" s="47">
        <v>3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219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6"/>
      <c r="G34" s="10"/>
      <c r="H34" s="19" t="s">
        <v>220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6"/>
      <c r="G35" s="10"/>
      <c r="H35" s="19" t="s">
        <v>221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222</v>
      </c>
      <c r="I36" s="47">
        <v>7</v>
      </c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18"/>
      <c r="G37" s="10"/>
      <c r="H37" s="19" t="s">
        <v>107</v>
      </c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342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 t="s">
        <v>378</v>
      </c>
      <c r="I39" s="47">
        <v>11</v>
      </c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 t="s">
        <v>385</v>
      </c>
      <c r="I40" s="47">
        <v>5</v>
      </c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 t="s">
        <v>207</v>
      </c>
      <c r="I41" s="47">
        <v>1</v>
      </c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 t="s">
        <v>466</v>
      </c>
      <c r="I42" s="47">
        <v>1</v>
      </c>
      <c r="J42" s="20">
        <v>1</v>
      </c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 t="s">
        <v>470</v>
      </c>
      <c r="I43" s="47">
        <v>1</v>
      </c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 t="s">
        <v>149</v>
      </c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autoFilter ref="A1:AL21" xr:uid="{BA16F526-BB91-4F35-9412-B44B1FD1D8B2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AAFE-8613-475B-8949-8E5E7475CB54}">
  <dimension ref="A1:AL1000"/>
  <sheetViews>
    <sheetView workbookViewId="0">
      <selection sqref="A1:XFD1048576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>
        <f>6*18+6*18+3*18+7*18+5*18+18*3+5*18+7*18+5*18+10*18+8*18+6*18+12*18+6*18+4*18+5*18</f>
        <v>1764</v>
      </c>
      <c r="C2" s="43">
        <f>4*18+18*18+11*18+18*18+4*18+18*18+6*18+19*18+12*18+14*18+5*18+5*18+8*18+5*18+13*18+13*18</f>
        <v>3114</v>
      </c>
      <c r="D2" s="6"/>
      <c r="E2" s="41">
        <f>54+54+54+54+54+54+54+54+54+54+54+54+54+54+250+200</f>
        <v>1206</v>
      </c>
      <c r="F2" s="32"/>
      <c r="G2" s="10"/>
      <c r="H2" s="19" t="s">
        <v>121</v>
      </c>
      <c r="I2" s="32">
        <f>1+1+2+1</f>
        <v>5</v>
      </c>
      <c r="J2" s="18"/>
      <c r="K2" s="20"/>
      <c r="L2" s="10"/>
      <c r="M2" s="21" t="s">
        <v>106</v>
      </c>
      <c r="N2" s="22"/>
      <c r="O2" s="40">
        <f>2+1+6</f>
        <v>9</v>
      </c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>
        <f>7*18+3*18+2*18+5*18+4*18+36+3*18+6*18+18*3+8*18+4*18+4*18+5*18+5*18+3*18+3*18</f>
        <v>1206</v>
      </c>
      <c r="C3" s="18"/>
      <c r="D3" s="6"/>
      <c r="E3" s="36"/>
      <c r="F3" s="36"/>
      <c r="G3" s="10"/>
      <c r="H3" s="19" t="s">
        <v>481</v>
      </c>
      <c r="I3" s="32">
        <f>1+1+1+1</f>
        <v>4</v>
      </c>
      <c r="J3" s="20"/>
      <c r="K3" s="18"/>
      <c r="L3" s="10"/>
      <c r="M3" s="21" t="s">
        <v>411</v>
      </c>
      <c r="N3" s="22"/>
      <c r="O3" s="23">
        <f>300+120</f>
        <v>420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441</v>
      </c>
      <c r="B4" s="18"/>
      <c r="C4" s="18"/>
      <c r="D4" s="20"/>
      <c r="E4" s="36">
        <f>0.24+0.25</f>
        <v>0.49</v>
      </c>
      <c r="F4" s="32"/>
      <c r="G4" s="10"/>
      <c r="H4" s="19" t="s">
        <v>147</v>
      </c>
      <c r="I4" s="32">
        <f>1+1</f>
        <v>2</v>
      </c>
      <c r="J4" s="20"/>
      <c r="K4" s="18"/>
      <c r="L4" s="10"/>
      <c r="M4" s="21" t="s">
        <v>191</v>
      </c>
      <c r="N4" s="22"/>
      <c r="O4" s="23">
        <f>1+1</f>
        <v>2</v>
      </c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447</v>
      </c>
      <c r="B5" s="18"/>
      <c r="C5" s="18"/>
      <c r="D5" s="20"/>
      <c r="E5" s="36">
        <v>8</v>
      </c>
      <c r="F5" s="32"/>
      <c r="G5" s="10"/>
      <c r="H5" s="19" t="s">
        <v>482</v>
      </c>
      <c r="I5" s="32">
        <f>1+1+1+1+1</f>
        <v>5</v>
      </c>
      <c r="J5" s="18"/>
      <c r="K5" s="18"/>
      <c r="L5" s="10"/>
      <c r="M5" s="21" t="s">
        <v>415</v>
      </c>
      <c r="N5" s="22"/>
      <c r="O5" s="23">
        <f>125+50</f>
        <v>175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443</v>
      </c>
      <c r="B6" s="18"/>
      <c r="C6" s="18"/>
      <c r="D6" s="20"/>
      <c r="E6" s="36">
        <v>4</v>
      </c>
      <c r="F6" s="32"/>
      <c r="G6" s="10"/>
      <c r="H6" s="19" t="s">
        <v>480</v>
      </c>
      <c r="I6" s="32">
        <f>2</f>
        <v>2</v>
      </c>
      <c r="J6" s="18"/>
      <c r="K6" s="18"/>
      <c r="L6" s="10"/>
      <c r="M6" s="21" t="s">
        <v>416</v>
      </c>
      <c r="N6" s="22"/>
      <c r="O6" s="23">
        <f>1</f>
        <v>1</v>
      </c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444</v>
      </c>
      <c r="B7" s="18"/>
      <c r="C7" s="18"/>
      <c r="D7" s="18"/>
      <c r="E7" s="36">
        <v>4</v>
      </c>
      <c r="F7" s="32"/>
      <c r="G7" s="10"/>
      <c r="H7" s="19" t="s">
        <v>210</v>
      </c>
      <c r="I7" s="32">
        <f>1+1+1+1</f>
        <v>4</v>
      </c>
      <c r="J7" s="20"/>
      <c r="K7" s="18"/>
      <c r="L7" s="10"/>
      <c r="M7" s="21" t="s">
        <v>418</v>
      </c>
      <c r="N7" s="22"/>
      <c r="O7" s="42">
        <f>230</f>
        <v>230</v>
      </c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445</v>
      </c>
      <c r="B8" s="18"/>
      <c r="C8" s="18"/>
      <c r="D8" s="18"/>
      <c r="E8" s="36"/>
      <c r="F8" s="32"/>
      <c r="G8" s="10"/>
      <c r="H8" s="19" t="s">
        <v>483</v>
      </c>
      <c r="I8" s="32">
        <f>1+1+1+1+1+1</f>
        <v>6</v>
      </c>
      <c r="J8" s="20"/>
      <c r="K8" s="18"/>
      <c r="L8" s="10"/>
      <c r="M8" s="21" t="s">
        <v>197</v>
      </c>
      <c r="N8" s="22"/>
      <c r="O8" s="42">
        <v>1</v>
      </c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282</v>
      </c>
      <c r="B9" s="18"/>
      <c r="C9" s="18"/>
      <c r="D9" s="20"/>
      <c r="E9" s="36"/>
      <c r="F9" s="32"/>
      <c r="G9" s="10"/>
      <c r="H9" s="19" t="s">
        <v>484</v>
      </c>
      <c r="I9" s="32">
        <f>2+1+1+1+1</f>
        <v>6</v>
      </c>
      <c r="J9" s="18"/>
      <c r="K9" s="18"/>
      <c r="L9" s="10"/>
      <c r="M9" s="21" t="s">
        <v>493</v>
      </c>
      <c r="N9" s="22"/>
      <c r="O9" s="42"/>
      <c r="P9" s="27">
        <v>1</v>
      </c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473</v>
      </c>
      <c r="B10" s="18"/>
      <c r="C10" s="18"/>
      <c r="D10" s="18"/>
      <c r="E10" s="36"/>
      <c r="F10" s="32">
        <v>1</v>
      </c>
      <c r="G10" s="10"/>
      <c r="H10" s="19" t="s">
        <v>485</v>
      </c>
      <c r="I10" s="32">
        <f>1+1+1+2+1+2</f>
        <v>8</v>
      </c>
      <c r="J10" s="18"/>
      <c r="K10" s="18"/>
      <c r="L10" s="10"/>
      <c r="M10" s="28" t="s">
        <v>489</v>
      </c>
      <c r="N10" s="22"/>
      <c r="O10" s="42"/>
      <c r="P10" s="27">
        <v>1</v>
      </c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474</v>
      </c>
      <c r="B11" s="18"/>
      <c r="C11" s="18"/>
      <c r="D11" s="18"/>
      <c r="E11" s="36"/>
      <c r="F11" s="32">
        <v>1</v>
      </c>
      <c r="G11" s="10"/>
      <c r="H11" s="19" t="s">
        <v>216</v>
      </c>
      <c r="I11" s="32">
        <f>1+1+1</f>
        <v>3</v>
      </c>
      <c r="J11" s="18"/>
      <c r="K11" s="18"/>
      <c r="L11" s="10"/>
      <c r="M11" s="21" t="s">
        <v>494</v>
      </c>
      <c r="N11" s="22"/>
      <c r="O11" s="42"/>
      <c r="P11" s="27">
        <v>1</v>
      </c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69</v>
      </c>
      <c r="B12" s="18"/>
      <c r="C12" s="18"/>
      <c r="D12" s="18"/>
      <c r="E12" s="20">
        <f>0.106</f>
        <v>0.106</v>
      </c>
      <c r="F12" s="32"/>
      <c r="G12" s="10"/>
      <c r="H12" s="19" t="s">
        <v>214</v>
      </c>
      <c r="I12" s="32">
        <f>1+1+1</f>
        <v>3</v>
      </c>
      <c r="J12" s="18"/>
      <c r="K12" s="18"/>
      <c r="L12" s="10"/>
      <c r="M12" s="21" t="s">
        <v>495</v>
      </c>
      <c r="N12" s="22"/>
      <c r="O12" s="42"/>
      <c r="P12" s="27">
        <v>1</v>
      </c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475</v>
      </c>
      <c r="B13" s="18"/>
      <c r="C13" s="18">
        <f>4*25+10*25</f>
        <v>350</v>
      </c>
      <c r="D13" s="18"/>
      <c r="E13" s="36"/>
      <c r="F13" s="32"/>
      <c r="G13" s="10"/>
      <c r="H13" s="19" t="s">
        <v>215</v>
      </c>
      <c r="I13" s="32">
        <f>1+1+1</f>
        <v>3</v>
      </c>
      <c r="J13" s="18"/>
      <c r="K13" s="18"/>
      <c r="L13" s="10"/>
      <c r="M13" s="21" t="s">
        <v>496</v>
      </c>
      <c r="N13" s="22"/>
      <c r="O13" s="42"/>
      <c r="P13" s="27">
        <v>1</v>
      </c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476</v>
      </c>
      <c r="B14" s="18"/>
      <c r="C14" s="18"/>
      <c r="D14" s="18"/>
      <c r="E14" s="36">
        <v>0.17499999999999999</v>
      </c>
      <c r="F14" s="32"/>
      <c r="G14" s="10"/>
      <c r="H14" s="19" t="s">
        <v>95</v>
      </c>
      <c r="I14" s="32">
        <f>1+1+1</f>
        <v>3</v>
      </c>
      <c r="J14" s="18"/>
      <c r="K14" s="18"/>
      <c r="L14" s="10"/>
      <c r="M14" s="21" t="s">
        <v>497</v>
      </c>
      <c r="N14" s="22"/>
      <c r="O14" s="42"/>
      <c r="P14" s="27">
        <v>1</v>
      </c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477</v>
      </c>
      <c r="B15" s="18"/>
      <c r="C15" s="18"/>
      <c r="D15" s="6"/>
      <c r="E15" s="36">
        <f>0.8+0.236</f>
        <v>1.036</v>
      </c>
      <c r="F15" s="32"/>
      <c r="G15" s="10"/>
      <c r="H15" s="19" t="s">
        <v>480</v>
      </c>
      <c r="I15" s="32">
        <f>1+3</f>
        <v>4</v>
      </c>
      <c r="J15" s="18"/>
      <c r="K15" s="18"/>
      <c r="L15" s="10"/>
      <c r="M15" s="21" t="s">
        <v>498</v>
      </c>
      <c r="N15" s="22"/>
      <c r="O15" s="42"/>
      <c r="P15" s="27">
        <v>1</v>
      </c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32"/>
      <c r="G16" s="10"/>
      <c r="H16" s="19" t="s">
        <v>486</v>
      </c>
      <c r="I16" s="32">
        <f>2+1+1</f>
        <v>4</v>
      </c>
      <c r="J16" s="20"/>
      <c r="K16" s="18"/>
      <c r="L16" s="10"/>
      <c r="M16" s="21" t="s">
        <v>499</v>
      </c>
      <c r="N16" s="22"/>
      <c r="O16" s="42"/>
      <c r="P16" s="27">
        <v>1</v>
      </c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32"/>
      <c r="G17" s="10"/>
      <c r="H17" s="19" t="s">
        <v>150</v>
      </c>
      <c r="I17" s="32">
        <f>1+1+1</f>
        <v>3</v>
      </c>
      <c r="J17" s="18"/>
      <c r="K17" s="18"/>
      <c r="L17" s="10"/>
      <c r="M17" s="21" t="s">
        <v>500</v>
      </c>
      <c r="N17" s="22"/>
      <c r="O17" s="42"/>
      <c r="P17" s="27">
        <v>1</v>
      </c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32"/>
      <c r="G18" s="10"/>
      <c r="H18" s="19" t="s">
        <v>137</v>
      </c>
      <c r="I18" s="32">
        <f>1</f>
        <v>1</v>
      </c>
      <c r="J18" s="18"/>
      <c r="K18" s="18"/>
      <c r="L18" s="10"/>
      <c r="M18" s="21" t="s">
        <v>501</v>
      </c>
      <c r="N18" s="22"/>
      <c r="O18" s="42"/>
      <c r="P18" s="27">
        <v>1</v>
      </c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18"/>
      <c r="C19" s="18"/>
      <c r="D19" s="6"/>
      <c r="E19" s="36"/>
      <c r="F19" s="32"/>
      <c r="G19" s="10"/>
      <c r="H19" s="19" t="s">
        <v>145</v>
      </c>
      <c r="I19" s="32">
        <v>2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32"/>
      <c r="G20" s="10"/>
      <c r="H20" s="19" t="s">
        <v>487</v>
      </c>
      <c r="I20" s="32">
        <f>2</f>
        <v>2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18"/>
      <c r="E21" s="36"/>
      <c r="F21" s="32"/>
      <c r="G21" s="10"/>
      <c r="H21" s="19" t="s">
        <v>478</v>
      </c>
      <c r="I21" s="32">
        <f>1+2+1</f>
        <v>4</v>
      </c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32"/>
      <c r="G22" s="10"/>
      <c r="H22" s="19" t="s">
        <v>488</v>
      </c>
      <c r="I22" s="32">
        <f>1+1+1+1</f>
        <v>4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32"/>
      <c r="G23" s="10"/>
      <c r="H23" s="19" t="s">
        <v>489</v>
      </c>
      <c r="I23" s="32">
        <v>1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32"/>
      <c r="G24" s="10"/>
      <c r="H24" s="19" t="s">
        <v>479</v>
      </c>
      <c r="I24" s="32">
        <f>1+1+1</f>
        <v>3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32"/>
      <c r="G25" s="10"/>
      <c r="H25" s="19" t="s">
        <v>490</v>
      </c>
      <c r="I25" s="32">
        <f>2+1</f>
        <v>3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158</v>
      </c>
      <c r="I26" s="32">
        <f>2+1</f>
        <v>3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149</v>
      </c>
      <c r="I27" s="32">
        <f>1+2+1</f>
        <v>4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221</v>
      </c>
      <c r="I28" s="32">
        <v>1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36"/>
      <c r="G29" s="10"/>
      <c r="H29" s="19" t="s">
        <v>491</v>
      </c>
      <c r="I29" s="32">
        <f>5</f>
        <v>5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128</v>
      </c>
      <c r="I30" s="32">
        <f>4+1+2</f>
        <v>7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213</v>
      </c>
      <c r="I31" s="32">
        <f>1</f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492</v>
      </c>
      <c r="I32" s="32">
        <f>1+1</f>
        <v>2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/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/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/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/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6B-2F4F-4092-BE5F-829DD782FB8B}">
  <dimension ref="A1:AL1000"/>
  <sheetViews>
    <sheetView workbookViewId="0">
      <selection activeCell="B2" sqref="B2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511</v>
      </c>
      <c r="C2" s="43" t="s">
        <v>512</v>
      </c>
      <c r="D2" s="6"/>
      <c r="E2" s="41" t="s">
        <v>514</v>
      </c>
      <c r="F2" s="32"/>
      <c r="G2" s="10"/>
      <c r="H2" s="19" t="s">
        <v>121</v>
      </c>
      <c r="I2" s="32">
        <v>2</v>
      </c>
      <c r="J2" s="18"/>
      <c r="K2" s="20"/>
      <c r="L2" s="10"/>
      <c r="M2" s="21" t="s">
        <v>502</v>
      </c>
      <c r="N2" s="22"/>
      <c r="O2" s="40"/>
      <c r="P2" s="49">
        <v>1</v>
      </c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513</v>
      </c>
      <c r="C3" s="18"/>
      <c r="D3" s="6"/>
      <c r="E3" s="36"/>
      <c r="F3" s="36"/>
      <c r="G3" s="10"/>
      <c r="H3" s="19" t="s">
        <v>481</v>
      </c>
      <c r="I3" s="32">
        <v>2</v>
      </c>
      <c r="J3" s="20"/>
      <c r="K3" s="18"/>
      <c r="L3" s="10"/>
      <c r="M3" s="21" t="s">
        <v>503</v>
      </c>
      <c r="N3" s="22"/>
      <c r="O3" s="23"/>
      <c r="P3" s="49">
        <v>1</v>
      </c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386</v>
      </c>
      <c r="B4" s="18"/>
      <c r="C4" s="18"/>
      <c r="D4" s="20"/>
      <c r="E4" s="36" t="s">
        <v>531</v>
      </c>
      <c r="F4" s="32"/>
      <c r="G4" s="10"/>
      <c r="H4" s="19" t="s">
        <v>147</v>
      </c>
      <c r="I4" s="32">
        <v>3</v>
      </c>
      <c r="J4" s="20"/>
      <c r="K4" s="18"/>
      <c r="L4" s="10"/>
      <c r="M4" s="21" t="s">
        <v>504</v>
      </c>
      <c r="N4" s="22"/>
      <c r="O4" s="23"/>
      <c r="P4" s="49">
        <v>1</v>
      </c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515</v>
      </c>
      <c r="B5" s="18"/>
      <c r="C5" s="18"/>
      <c r="D5" s="20"/>
      <c r="E5" s="36" t="s">
        <v>521</v>
      </c>
      <c r="F5" s="32"/>
      <c r="G5" s="10"/>
      <c r="H5" s="19" t="s">
        <v>482</v>
      </c>
      <c r="I5" s="32">
        <v>5</v>
      </c>
      <c r="J5" s="18"/>
      <c r="K5" s="18"/>
      <c r="L5" s="10"/>
      <c r="M5" s="21" t="s">
        <v>505</v>
      </c>
      <c r="N5" s="22"/>
      <c r="O5" s="23"/>
      <c r="P5" s="49">
        <v>1</v>
      </c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516</v>
      </c>
      <c r="B6" s="18"/>
      <c r="C6" s="18"/>
      <c r="D6" s="20"/>
      <c r="E6" s="36" t="s">
        <v>522</v>
      </c>
      <c r="F6" s="32"/>
      <c r="G6" s="10"/>
      <c r="H6" s="19" t="s">
        <v>480</v>
      </c>
      <c r="I6" s="32">
        <v>8</v>
      </c>
      <c r="J6" s="18"/>
      <c r="K6" s="18"/>
      <c r="L6" s="10"/>
      <c r="M6" s="21" t="s">
        <v>506</v>
      </c>
      <c r="N6" s="22"/>
      <c r="O6" s="23"/>
      <c r="P6" s="49">
        <v>1</v>
      </c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517</v>
      </c>
      <c r="B7" s="18"/>
      <c r="C7" s="18"/>
      <c r="D7" s="18"/>
      <c r="E7" s="36">
        <v>1</v>
      </c>
      <c r="F7" s="32"/>
      <c r="G7" s="10"/>
      <c r="H7" s="19" t="s">
        <v>210</v>
      </c>
      <c r="I7" s="32">
        <v>2</v>
      </c>
      <c r="J7" s="20"/>
      <c r="K7" s="18"/>
      <c r="L7" s="10"/>
      <c r="M7" s="21" t="s">
        <v>411</v>
      </c>
      <c r="N7" s="22"/>
      <c r="O7" s="42" t="s">
        <v>507</v>
      </c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518</v>
      </c>
      <c r="B8" s="18"/>
      <c r="C8" s="18"/>
      <c r="D8" s="18"/>
      <c r="E8" s="36" t="s">
        <v>436</v>
      </c>
      <c r="F8" s="32"/>
      <c r="G8" s="10"/>
      <c r="H8" s="19" t="s">
        <v>483</v>
      </c>
      <c r="I8" s="32">
        <v>8</v>
      </c>
      <c r="J8" s="20"/>
      <c r="K8" s="18"/>
      <c r="L8" s="10"/>
      <c r="M8" s="21" t="s">
        <v>191</v>
      </c>
      <c r="N8" s="22"/>
      <c r="O8" s="42">
        <v>3</v>
      </c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519</v>
      </c>
      <c r="B9" s="18"/>
      <c r="C9" s="18"/>
      <c r="D9" s="20" t="s">
        <v>520</v>
      </c>
      <c r="E9" s="36"/>
      <c r="F9" s="32"/>
      <c r="G9" s="10"/>
      <c r="H9" s="19" t="s">
        <v>484</v>
      </c>
      <c r="I9" s="32">
        <v>6</v>
      </c>
      <c r="J9" s="18"/>
      <c r="K9" s="18"/>
      <c r="L9" s="10"/>
      <c r="M9" s="21" t="s">
        <v>508</v>
      </c>
      <c r="N9" s="22"/>
      <c r="O9" s="42">
        <v>2</v>
      </c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523</v>
      </c>
      <c r="B10" s="18"/>
      <c r="C10" s="18"/>
      <c r="D10" s="18"/>
      <c r="E10" s="36" t="s">
        <v>451</v>
      </c>
      <c r="F10" s="32"/>
      <c r="G10" s="10"/>
      <c r="H10" s="19" t="s">
        <v>485</v>
      </c>
      <c r="I10" s="32">
        <v>2</v>
      </c>
      <c r="J10" s="18"/>
      <c r="K10" s="18"/>
      <c r="L10" s="10"/>
      <c r="M10" s="28" t="s">
        <v>509</v>
      </c>
      <c r="N10" s="22"/>
      <c r="O10" s="42" t="s">
        <v>229</v>
      </c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524</v>
      </c>
      <c r="B11" s="18"/>
      <c r="C11" s="18"/>
      <c r="D11" s="18"/>
      <c r="E11" s="36" t="s">
        <v>271</v>
      </c>
      <c r="F11" s="32"/>
      <c r="G11" s="10"/>
      <c r="H11" s="19" t="s">
        <v>216</v>
      </c>
      <c r="I11" s="32">
        <v>2</v>
      </c>
      <c r="J11" s="18"/>
      <c r="K11" s="18"/>
      <c r="L11" s="10"/>
      <c r="M11" s="21"/>
      <c r="N11" s="48"/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37</v>
      </c>
      <c r="B12" s="18"/>
      <c r="C12" s="18"/>
      <c r="D12" s="18"/>
      <c r="E12" s="20" t="s">
        <v>525</v>
      </c>
      <c r="F12" s="32"/>
      <c r="G12" s="10"/>
      <c r="H12" s="19" t="s">
        <v>214</v>
      </c>
      <c r="I12" s="32">
        <v>2</v>
      </c>
      <c r="J12" s="18"/>
      <c r="K12" s="18"/>
      <c r="L12" s="10"/>
      <c r="M12" s="21"/>
      <c r="N12" s="22"/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526</v>
      </c>
      <c r="B13" s="18"/>
      <c r="C13" s="18"/>
      <c r="D13" s="18"/>
      <c r="E13" s="36" t="s">
        <v>271</v>
      </c>
      <c r="F13" s="32"/>
      <c r="G13" s="10"/>
      <c r="H13" s="19" t="s">
        <v>215</v>
      </c>
      <c r="I13" s="32">
        <v>2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527</v>
      </c>
      <c r="B14" s="18"/>
      <c r="C14" s="18"/>
      <c r="D14" s="18"/>
      <c r="E14" s="36" t="s">
        <v>271</v>
      </c>
      <c r="F14" s="32"/>
      <c r="G14" s="10"/>
      <c r="H14" s="19" t="s">
        <v>95</v>
      </c>
      <c r="I14" s="32">
        <v>3</v>
      </c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528</v>
      </c>
      <c r="B15" s="18"/>
      <c r="C15" s="18"/>
      <c r="D15" s="6"/>
      <c r="E15" s="36" t="s">
        <v>271</v>
      </c>
      <c r="F15" s="32"/>
      <c r="G15" s="10"/>
      <c r="H15" s="19" t="s">
        <v>480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529</v>
      </c>
      <c r="B16" s="18"/>
      <c r="C16" s="18"/>
      <c r="D16" s="18"/>
      <c r="E16" s="36" t="s">
        <v>278</v>
      </c>
      <c r="F16" s="32"/>
      <c r="G16" s="10"/>
      <c r="H16" s="19" t="s">
        <v>486</v>
      </c>
      <c r="I16" s="32">
        <v>4</v>
      </c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249</v>
      </c>
      <c r="B17" s="18"/>
      <c r="C17" s="18"/>
      <c r="D17" s="18"/>
      <c r="E17" s="36" t="s">
        <v>269</v>
      </c>
      <c r="F17" s="32"/>
      <c r="G17" s="10"/>
      <c r="H17" s="19" t="s">
        <v>150</v>
      </c>
      <c r="I17" s="32">
        <v>2</v>
      </c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530</v>
      </c>
      <c r="B18" s="6"/>
      <c r="C18" s="18"/>
      <c r="D18" s="18"/>
      <c r="E18" s="36"/>
      <c r="F18" s="32">
        <v>1</v>
      </c>
      <c r="G18" s="10"/>
      <c r="H18" s="19" t="s">
        <v>137</v>
      </c>
      <c r="I18" s="32">
        <v>2</v>
      </c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532</v>
      </c>
      <c r="B19" s="18"/>
      <c r="C19" s="18"/>
      <c r="D19" s="6"/>
      <c r="E19" s="36" t="s">
        <v>234</v>
      </c>
      <c r="F19" s="32"/>
      <c r="G19" s="10"/>
      <c r="H19" s="19" t="s">
        <v>145</v>
      </c>
      <c r="I19" s="32">
        <v>3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346</v>
      </c>
      <c r="B20" s="18"/>
      <c r="C20" s="18"/>
      <c r="D20" s="6"/>
      <c r="E20" s="36" t="s">
        <v>359</v>
      </c>
      <c r="F20" s="32"/>
      <c r="G20" s="10"/>
      <c r="H20" s="19" t="s">
        <v>539</v>
      </c>
      <c r="I20" s="32">
        <v>4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170</v>
      </c>
      <c r="B21" s="18"/>
      <c r="C21" s="18"/>
      <c r="D21" s="18"/>
      <c r="E21" s="36" t="s">
        <v>533</v>
      </c>
      <c r="F21" s="32"/>
      <c r="G21" s="10"/>
      <c r="H21" s="19" t="s">
        <v>478</v>
      </c>
      <c r="I21" s="32">
        <v>2</v>
      </c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534</v>
      </c>
      <c r="B22" s="18"/>
      <c r="C22" s="18"/>
      <c r="D22" s="18"/>
      <c r="E22" s="36" t="s">
        <v>395</v>
      </c>
      <c r="F22" s="32"/>
      <c r="G22" s="10"/>
      <c r="H22" s="19" t="s">
        <v>488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535</v>
      </c>
      <c r="B23" s="18"/>
      <c r="C23" s="18"/>
      <c r="D23" s="18"/>
      <c r="E23" s="32" t="s">
        <v>536</v>
      </c>
      <c r="F23" s="32"/>
      <c r="G23" s="10"/>
      <c r="H23" s="19" t="s">
        <v>489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537</v>
      </c>
      <c r="B24" s="18"/>
      <c r="C24" s="18"/>
      <c r="D24" s="18"/>
      <c r="E24" s="32" t="s">
        <v>395</v>
      </c>
      <c r="F24" s="32"/>
      <c r="G24" s="10"/>
      <c r="H24" s="19" t="s">
        <v>479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349</v>
      </c>
      <c r="B25" s="18"/>
      <c r="C25" s="18"/>
      <c r="D25" s="18"/>
      <c r="E25" s="32">
        <v>2</v>
      </c>
      <c r="F25" s="32"/>
      <c r="G25" s="10"/>
      <c r="H25" s="19" t="s">
        <v>490</v>
      </c>
      <c r="I25" s="32">
        <v>2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158</v>
      </c>
      <c r="I26" s="32">
        <v>4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149</v>
      </c>
      <c r="I27" s="32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221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36"/>
      <c r="G29" s="10"/>
      <c r="H29" s="19" t="s">
        <v>491</v>
      </c>
      <c r="I29" s="32">
        <v>8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128</v>
      </c>
      <c r="I30" s="32">
        <v>2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213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492</v>
      </c>
      <c r="I32" s="32">
        <v>3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113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200</v>
      </c>
      <c r="I34" s="32">
        <v>4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538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 t="s">
        <v>540</v>
      </c>
      <c r="I36" s="32">
        <v>1</v>
      </c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honeticPr fontId="1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E03F-1A09-4623-8034-CDAE4FFCD6A4}">
  <dimension ref="A1:AL1000"/>
  <sheetViews>
    <sheetView workbookViewId="0">
      <selection activeCell="C8" sqref="C8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541</v>
      </c>
      <c r="C2" s="43" t="s">
        <v>543</v>
      </c>
      <c r="D2" s="6"/>
      <c r="E2" s="41" t="s">
        <v>278</v>
      </c>
      <c r="F2" s="32"/>
      <c r="G2" s="10"/>
      <c r="H2" s="19" t="s">
        <v>121</v>
      </c>
      <c r="I2" s="32"/>
      <c r="J2" s="18"/>
      <c r="K2" s="20"/>
      <c r="L2" s="10"/>
      <c r="M2" s="21" t="s">
        <v>558</v>
      </c>
      <c r="N2" s="22"/>
      <c r="O2" s="40">
        <v>1</v>
      </c>
      <c r="P2" s="49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542</v>
      </c>
      <c r="C3" s="18"/>
      <c r="D3" s="6"/>
      <c r="E3" s="36"/>
      <c r="F3" s="36"/>
      <c r="G3" s="10"/>
      <c r="H3" s="19" t="s">
        <v>481</v>
      </c>
      <c r="I3" s="32"/>
      <c r="J3" s="20"/>
      <c r="K3" s="18"/>
      <c r="L3" s="10"/>
      <c r="M3" s="21" t="s">
        <v>559</v>
      </c>
      <c r="N3" s="48" t="s">
        <v>510</v>
      </c>
      <c r="O3" s="23"/>
      <c r="P3" s="49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386</v>
      </c>
      <c r="B4" s="18"/>
      <c r="C4" s="18"/>
      <c r="D4" s="20"/>
      <c r="E4" s="36" t="s">
        <v>521</v>
      </c>
      <c r="F4" s="32"/>
      <c r="G4" s="10"/>
      <c r="H4" s="19" t="s">
        <v>147</v>
      </c>
      <c r="I4" s="32"/>
      <c r="J4" s="20"/>
      <c r="K4" s="18"/>
      <c r="L4" s="10"/>
      <c r="M4" s="21"/>
      <c r="N4" s="22"/>
      <c r="O4" s="23"/>
      <c r="P4" s="49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544</v>
      </c>
      <c r="B5" s="18"/>
      <c r="C5" s="18"/>
      <c r="D5" s="20"/>
      <c r="E5" s="36" t="s">
        <v>271</v>
      </c>
      <c r="F5" s="32"/>
      <c r="G5" s="10"/>
      <c r="H5" s="19" t="s">
        <v>482</v>
      </c>
      <c r="I5" s="32">
        <v>2</v>
      </c>
      <c r="J5" s="18"/>
      <c r="K5" s="18"/>
      <c r="L5" s="10"/>
      <c r="M5" s="21"/>
      <c r="N5" s="22"/>
      <c r="O5" s="23"/>
      <c r="P5" s="49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545</v>
      </c>
      <c r="B6" s="18"/>
      <c r="C6" s="18"/>
      <c r="D6" s="20"/>
      <c r="E6" s="36">
        <v>1</v>
      </c>
      <c r="F6" s="32"/>
      <c r="G6" s="10"/>
      <c r="H6" s="19" t="s">
        <v>480</v>
      </c>
      <c r="I6" s="32"/>
      <c r="J6" s="18"/>
      <c r="K6" s="18"/>
      <c r="L6" s="10"/>
      <c r="M6" s="21"/>
      <c r="N6" s="22"/>
      <c r="O6" s="23"/>
      <c r="P6" s="49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546</v>
      </c>
      <c r="B7" s="18"/>
      <c r="C7" s="18"/>
      <c r="D7" s="18"/>
      <c r="E7" s="36" t="s">
        <v>547</v>
      </c>
      <c r="F7" s="32"/>
      <c r="G7" s="10"/>
      <c r="H7" s="19" t="s">
        <v>210</v>
      </c>
      <c r="I7" s="32">
        <v>1</v>
      </c>
      <c r="J7" s="20"/>
      <c r="K7" s="18"/>
      <c r="L7" s="10"/>
      <c r="M7" s="21"/>
      <c r="N7" s="22"/>
      <c r="O7" s="42"/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548</v>
      </c>
      <c r="B8" s="18"/>
      <c r="C8" s="18"/>
      <c r="D8" s="18"/>
      <c r="E8" s="36" t="s">
        <v>536</v>
      </c>
      <c r="F8" s="32"/>
      <c r="G8" s="10"/>
      <c r="H8" s="19" t="s">
        <v>483</v>
      </c>
      <c r="I8" s="32">
        <v>1</v>
      </c>
      <c r="J8" s="20"/>
      <c r="K8" s="18"/>
      <c r="L8" s="10"/>
      <c r="M8" s="21"/>
      <c r="N8" s="22"/>
      <c r="O8" s="42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549</v>
      </c>
      <c r="B9" s="18"/>
      <c r="C9" s="18"/>
      <c r="D9" s="20"/>
      <c r="E9" s="36" t="s">
        <v>550</v>
      </c>
      <c r="F9" s="32"/>
      <c r="G9" s="10"/>
      <c r="H9" s="19" t="s">
        <v>484</v>
      </c>
      <c r="I9" s="32">
        <v>3</v>
      </c>
      <c r="J9" s="18"/>
      <c r="K9" s="18"/>
      <c r="L9" s="10"/>
      <c r="M9" s="21"/>
      <c r="N9" s="22"/>
      <c r="O9" s="42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551</v>
      </c>
      <c r="B10" s="18"/>
      <c r="C10" s="18"/>
      <c r="D10" s="18"/>
      <c r="E10" s="36" t="s">
        <v>510</v>
      </c>
      <c r="F10" s="32"/>
      <c r="G10" s="10"/>
      <c r="H10" s="19" t="s">
        <v>485</v>
      </c>
      <c r="I10" s="32">
        <v>1</v>
      </c>
      <c r="J10" s="18"/>
      <c r="K10" s="18"/>
      <c r="L10" s="10"/>
      <c r="M10" s="28"/>
      <c r="N10" s="22"/>
      <c r="O10" s="42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552</v>
      </c>
      <c r="B11" s="18"/>
      <c r="C11" s="18"/>
      <c r="D11" s="18"/>
      <c r="E11" s="36">
        <v>1</v>
      </c>
      <c r="F11" s="32"/>
      <c r="G11" s="10"/>
      <c r="H11" s="19" t="s">
        <v>216</v>
      </c>
      <c r="I11" s="32">
        <v>2</v>
      </c>
      <c r="J11" s="18"/>
      <c r="K11" s="18"/>
      <c r="L11" s="10"/>
      <c r="M11" s="21"/>
      <c r="N11" s="48"/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346</v>
      </c>
      <c r="B12" s="18"/>
      <c r="C12" s="18"/>
      <c r="D12" s="18"/>
      <c r="E12" s="20" t="s">
        <v>436</v>
      </c>
      <c r="F12" s="32"/>
      <c r="G12" s="10"/>
      <c r="H12" s="19" t="s">
        <v>214</v>
      </c>
      <c r="I12" s="32">
        <v>2</v>
      </c>
      <c r="J12" s="18"/>
      <c r="K12" s="18"/>
      <c r="L12" s="10"/>
      <c r="M12" s="21"/>
      <c r="N12" s="22"/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553</v>
      </c>
      <c r="B13" s="18"/>
      <c r="C13" s="18"/>
      <c r="D13" s="18"/>
      <c r="E13" s="36" t="s">
        <v>520</v>
      </c>
      <c r="F13" s="32"/>
      <c r="G13" s="10"/>
      <c r="H13" s="19" t="s">
        <v>215</v>
      </c>
      <c r="I13" s="32">
        <v>2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554</v>
      </c>
      <c r="B14" s="18"/>
      <c r="C14" s="18"/>
      <c r="D14" s="18"/>
      <c r="E14" s="36" t="s">
        <v>234</v>
      </c>
      <c r="F14" s="32"/>
      <c r="G14" s="10"/>
      <c r="H14" s="19" t="s">
        <v>95</v>
      </c>
      <c r="I14" s="32"/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555</v>
      </c>
      <c r="B15" s="18"/>
      <c r="C15" s="18"/>
      <c r="D15" s="6"/>
      <c r="E15" s="36" t="s">
        <v>355</v>
      </c>
      <c r="F15" s="32"/>
      <c r="G15" s="10"/>
      <c r="H15" s="19" t="s">
        <v>480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556</v>
      </c>
      <c r="B16" s="18"/>
      <c r="C16" s="18"/>
      <c r="D16" s="18"/>
      <c r="E16" s="36" t="s">
        <v>355</v>
      </c>
      <c r="F16" s="32"/>
      <c r="G16" s="10"/>
      <c r="H16" s="19" t="s">
        <v>486</v>
      </c>
      <c r="I16" s="32"/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557</v>
      </c>
      <c r="B17" s="18"/>
      <c r="C17" s="18"/>
      <c r="D17" s="18"/>
      <c r="E17" s="36" t="s">
        <v>550</v>
      </c>
      <c r="F17" s="32"/>
      <c r="G17" s="10"/>
      <c r="H17" s="19" t="s">
        <v>150</v>
      </c>
      <c r="I17" s="32">
        <v>2</v>
      </c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32"/>
      <c r="G18" s="10"/>
      <c r="H18" s="19" t="s">
        <v>137</v>
      </c>
      <c r="I18" s="32"/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18"/>
      <c r="C19" s="18"/>
      <c r="D19" s="6"/>
      <c r="E19" s="36"/>
      <c r="F19" s="32"/>
      <c r="G19" s="10"/>
      <c r="H19" s="19" t="s">
        <v>145</v>
      </c>
      <c r="I19" s="32">
        <v>1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32"/>
      <c r="G20" s="10"/>
      <c r="H20" s="19" t="s">
        <v>539</v>
      </c>
      <c r="I20" s="32">
        <v>2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18"/>
      <c r="E21" s="36"/>
      <c r="F21" s="32"/>
      <c r="G21" s="10"/>
      <c r="H21" s="19" t="s">
        <v>478</v>
      </c>
      <c r="I21" s="32"/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32"/>
      <c r="G22" s="10"/>
      <c r="H22" s="19" t="s">
        <v>488</v>
      </c>
      <c r="I22" s="32">
        <v>2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32"/>
      <c r="G23" s="10"/>
      <c r="H23" s="19" t="s">
        <v>489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32"/>
      <c r="G24" s="10"/>
      <c r="H24" s="19" t="s">
        <v>479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32"/>
      <c r="G25" s="10"/>
      <c r="H25" s="19" t="s">
        <v>490</v>
      </c>
      <c r="I25" s="32">
        <v>4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158</v>
      </c>
      <c r="I26" s="18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149</v>
      </c>
      <c r="I27" s="32">
        <v>2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221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36"/>
      <c r="G29" s="10"/>
      <c r="H29" s="19" t="s">
        <v>491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128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213</v>
      </c>
      <c r="I31" s="32"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492</v>
      </c>
      <c r="I32" s="32">
        <v>2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113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538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540</v>
      </c>
      <c r="I35" s="32">
        <v>2</v>
      </c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/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0E77-4D1A-478B-A5BA-4A9F3940D9D8}">
  <dimension ref="A1:AL1000"/>
  <sheetViews>
    <sheetView workbookViewId="0">
      <selection activeCell="C10" sqref="C10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562</v>
      </c>
      <c r="C2" s="43" t="s">
        <v>561</v>
      </c>
      <c r="D2" s="6"/>
      <c r="E2" s="41" t="s">
        <v>395</v>
      </c>
      <c r="F2" s="32"/>
      <c r="G2" s="10"/>
      <c r="H2" s="19" t="s">
        <v>121</v>
      </c>
      <c r="I2" s="32">
        <v>9</v>
      </c>
      <c r="J2" s="18"/>
      <c r="K2" s="20"/>
      <c r="L2" s="10"/>
      <c r="M2" s="21" t="s">
        <v>106</v>
      </c>
      <c r="N2" s="22"/>
      <c r="O2" s="40">
        <v>7</v>
      </c>
      <c r="P2" s="49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560</v>
      </c>
      <c r="C3" s="18"/>
      <c r="D3" s="6"/>
      <c r="E3" s="36"/>
      <c r="F3" s="36"/>
      <c r="G3" s="10"/>
      <c r="H3" s="19" t="s">
        <v>481</v>
      </c>
      <c r="I3" s="32">
        <v>2</v>
      </c>
      <c r="J3" s="20"/>
      <c r="K3" s="18"/>
      <c r="L3" s="10"/>
      <c r="M3" s="21" t="s">
        <v>591</v>
      </c>
      <c r="N3" s="48"/>
      <c r="O3" s="23" t="s">
        <v>343</v>
      </c>
      <c r="P3" s="49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386</v>
      </c>
      <c r="B4" s="18"/>
      <c r="C4" s="18"/>
      <c r="D4" s="20"/>
      <c r="E4" s="36">
        <v>1000</v>
      </c>
      <c r="F4" s="32"/>
      <c r="G4" s="10"/>
      <c r="H4" s="19" t="s">
        <v>147</v>
      </c>
      <c r="I4" s="32">
        <v>4</v>
      </c>
      <c r="J4" s="20"/>
      <c r="K4" s="18"/>
      <c r="L4" s="10"/>
      <c r="M4" s="21" t="s">
        <v>411</v>
      </c>
      <c r="N4" s="22"/>
      <c r="O4" s="23" t="s">
        <v>455</v>
      </c>
      <c r="P4" s="49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563</v>
      </c>
      <c r="B5" s="18"/>
      <c r="C5" s="18"/>
      <c r="D5" s="20"/>
      <c r="E5" s="36" t="s">
        <v>521</v>
      </c>
      <c r="F5" s="32"/>
      <c r="G5" s="10"/>
      <c r="H5" s="19" t="s">
        <v>482</v>
      </c>
      <c r="I5" s="32">
        <v>6</v>
      </c>
      <c r="J5" s="18"/>
      <c r="K5" s="18"/>
      <c r="L5" s="10"/>
      <c r="M5" s="21" t="s">
        <v>191</v>
      </c>
      <c r="N5" s="22"/>
      <c r="O5" s="23">
        <v>5</v>
      </c>
      <c r="P5" s="49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565</v>
      </c>
      <c r="B6" s="18"/>
      <c r="C6" s="18"/>
      <c r="D6" s="20"/>
      <c r="E6" s="36" t="s">
        <v>579</v>
      </c>
      <c r="F6" s="32">
        <v>0.36</v>
      </c>
      <c r="G6" s="10"/>
      <c r="H6" s="19" t="s">
        <v>480</v>
      </c>
      <c r="I6" s="32"/>
      <c r="J6" s="18"/>
      <c r="K6" s="18"/>
      <c r="L6" s="10"/>
      <c r="M6" s="21"/>
      <c r="N6" s="22"/>
      <c r="O6" s="23"/>
      <c r="P6" s="49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452</v>
      </c>
      <c r="B7" s="18"/>
      <c r="C7" s="18"/>
      <c r="D7" s="18"/>
      <c r="E7" s="36"/>
      <c r="F7" s="32"/>
      <c r="G7" s="10"/>
      <c r="H7" s="19" t="s">
        <v>210</v>
      </c>
      <c r="I7" s="32">
        <v>6</v>
      </c>
      <c r="J7" s="20"/>
      <c r="K7" s="18"/>
      <c r="L7" s="10"/>
      <c r="M7" s="21"/>
      <c r="N7" s="22"/>
      <c r="O7" s="42"/>
      <c r="P7" s="27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382</v>
      </c>
      <c r="B8" s="18"/>
      <c r="C8" s="18"/>
      <c r="D8" s="18"/>
      <c r="E8" s="36" t="s">
        <v>436</v>
      </c>
      <c r="F8" s="32"/>
      <c r="G8" s="10"/>
      <c r="H8" s="19" t="s">
        <v>483</v>
      </c>
      <c r="I8" s="32">
        <v>9</v>
      </c>
      <c r="J8" s="20"/>
      <c r="K8" s="18"/>
      <c r="L8" s="10"/>
      <c r="M8" s="21"/>
      <c r="N8" s="22"/>
      <c r="O8" s="42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564</v>
      </c>
      <c r="B9" s="18"/>
      <c r="C9" s="18"/>
      <c r="D9" s="20"/>
      <c r="E9" s="36">
        <v>0.55000000000000004</v>
      </c>
      <c r="F9" s="32"/>
      <c r="G9" s="10"/>
      <c r="H9" s="19" t="s">
        <v>484</v>
      </c>
      <c r="I9" s="32">
        <v>6</v>
      </c>
      <c r="J9" s="18"/>
      <c r="K9" s="18"/>
      <c r="L9" s="10"/>
      <c r="M9" s="21"/>
      <c r="N9" s="22"/>
      <c r="O9" s="42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11</v>
      </c>
      <c r="B10" s="18"/>
      <c r="C10" s="18"/>
      <c r="D10" s="18"/>
      <c r="E10" s="36"/>
      <c r="F10" s="32" t="s">
        <v>566</v>
      </c>
      <c r="G10" s="10"/>
      <c r="H10" s="19" t="s">
        <v>485</v>
      </c>
      <c r="I10" s="32">
        <v>6</v>
      </c>
      <c r="J10" s="18"/>
      <c r="K10" s="18"/>
      <c r="L10" s="10"/>
      <c r="M10" s="28"/>
      <c r="N10" s="22"/>
      <c r="O10" s="42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567</v>
      </c>
      <c r="B11" s="18"/>
      <c r="C11" s="18"/>
      <c r="D11" s="18"/>
      <c r="E11" s="36"/>
      <c r="F11" s="32">
        <v>1</v>
      </c>
      <c r="G11" s="10"/>
      <c r="H11" s="19" t="s">
        <v>216</v>
      </c>
      <c r="I11" s="32">
        <v>4</v>
      </c>
      <c r="J11" s="18"/>
      <c r="K11" s="18"/>
      <c r="L11" s="10"/>
      <c r="M11" s="21"/>
      <c r="N11" s="48"/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548</v>
      </c>
      <c r="B12" s="18"/>
      <c r="C12" s="18"/>
      <c r="D12" s="20"/>
      <c r="E12" s="36"/>
      <c r="F12" s="32">
        <v>0.15</v>
      </c>
      <c r="G12" s="10"/>
      <c r="H12" s="19" t="s">
        <v>214</v>
      </c>
      <c r="I12" s="32">
        <v>3</v>
      </c>
      <c r="J12" s="32"/>
      <c r="K12" s="18"/>
      <c r="L12" s="10"/>
      <c r="M12" s="21"/>
      <c r="N12" s="22"/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568</v>
      </c>
      <c r="B13" s="18"/>
      <c r="C13" s="18"/>
      <c r="D13" s="18"/>
      <c r="E13" s="36"/>
      <c r="F13" s="32" t="s">
        <v>428</v>
      </c>
      <c r="G13" s="10"/>
      <c r="H13" s="19" t="s">
        <v>215</v>
      </c>
      <c r="I13" s="32">
        <v>4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569</v>
      </c>
      <c r="B14" s="18"/>
      <c r="C14" s="18"/>
      <c r="D14" s="18"/>
      <c r="E14" s="36"/>
      <c r="F14" s="32" t="s">
        <v>428</v>
      </c>
      <c r="G14" s="10"/>
      <c r="H14" s="19" t="s">
        <v>95</v>
      </c>
      <c r="I14" s="32">
        <v>7</v>
      </c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570</v>
      </c>
      <c r="B15" s="18"/>
      <c r="C15" s="18"/>
      <c r="D15" s="6"/>
      <c r="E15" s="36"/>
      <c r="F15" s="32" t="s">
        <v>571</v>
      </c>
      <c r="G15" s="10"/>
      <c r="H15" s="19" t="s">
        <v>480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572</v>
      </c>
      <c r="B16" s="18"/>
      <c r="C16" s="18"/>
      <c r="D16" s="18"/>
      <c r="E16" s="36"/>
      <c r="F16" s="32" t="s">
        <v>573</v>
      </c>
      <c r="G16" s="10"/>
      <c r="H16" s="19" t="s">
        <v>486</v>
      </c>
      <c r="I16" s="32">
        <v>8</v>
      </c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574</v>
      </c>
      <c r="B17" s="18"/>
      <c r="C17" s="18"/>
      <c r="D17" s="18"/>
      <c r="E17" s="36"/>
      <c r="F17" s="32" t="s">
        <v>575</v>
      </c>
      <c r="G17" s="10"/>
      <c r="H17" s="19" t="s">
        <v>150</v>
      </c>
      <c r="I17" s="32">
        <v>2</v>
      </c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576</v>
      </c>
      <c r="B18" s="6"/>
      <c r="C18" s="18"/>
      <c r="D18" s="18"/>
      <c r="E18" s="36"/>
      <c r="F18" s="32" t="s">
        <v>575</v>
      </c>
      <c r="G18" s="10"/>
      <c r="H18" s="19" t="s">
        <v>137</v>
      </c>
      <c r="I18" s="32">
        <v>1</v>
      </c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28</v>
      </c>
      <c r="B19" s="18"/>
      <c r="C19" s="18"/>
      <c r="D19" s="6"/>
      <c r="E19" s="36" t="s">
        <v>271</v>
      </c>
      <c r="F19" s="32"/>
      <c r="G19" s="10"/>
      <c r="H19" s="19" t="s">
        <v>145</v>
      </c>
      <c r="I19" s="32">
        <v>1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9</v>
      </c>
      <c r="B20" s="18"/>
      <c r="C20" s="18"/>
      <c r="D20" s="6"/>
      <c r="E20" s="36" t="s">
        <v>585</v>
      </c>
      <c r="F20" s="32"/>
      <c r="G20" s="10"/>
      <c r="H20" s="19" t="s">
        <v>539</v>
      </c>
      <c r="I20" s="32">
        <v>4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349</v>
      </c>
      <c r="B21" s="18"/>
      <c r="C21" s="18"/>
      <c r="D21" s="18"/>
      <c r="E21" s="36">
        <v>1</v>
      </c>
      <c r="F21" s="32"/>
      <c r="G21" s="10"/>
      <c r="H21" s="19" t="s">
        <v>478</v>
      </c>
      <c r="I21" s="32">
        <v>1</v>
      </c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577</v>
      </c>
      <c r="B22" s="18"/>
      <c r="C22" s="18"/>
      <c r="D22" s="18"/>
      <c r="E22" s="36" t="s">
        <v>395</v>
      </c>
      <c r="F22" s="32"/>
      <c r="G22" s="10"/>
      <c r="H22" s="19" t="s">
        <v>488</v>
      </c>
      <c r="I22" s="32">
        <v>7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578</v>
      </c>
      <c r="B23" s="18"/>
      <c r="C23" s="18"/>
      <c r="D23" s="18"/>
      <c r="E23" s="32" t="s">
        <v>522</v>
      </c>
      <c r="F23" s="32"/>
      <c r="G23" s="10"/>
      <c r="H23" s="19" t="s">
        <v>489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163</v>
      </c>
      <c r="B24" s="18"/>
      <c r="C24" s="18"/>
      <c r="D24" s="18"/>
      <c r="E24" s="32"/>
      <c r="F24" s="32">
        <v>1</v>
      </c>
      <c r="G24" s="10"/>
      <c r="H24" s="19" t="s">
        <v>479</v>
      </c>
      <c r="I24" s="32">
        <v>3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580</v>
      </c>
      <c r="B25" s="18"/>
      <c r="C25" s="18"/>
      <c r="D25" s="18"/>
      <c r="E25" s="32"/>
      <c r="F25" s="32">
        <v>1</v>
      </c>
      <c r="G25" s="10"/>
      <c r="H25" s="19" t="s">
        <v>490</v>
      </c>
      <c r="I25" s="32">
        <v>2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581</v>
      </c>
      <c r="B26" s="18"/>
      <c r="C26" s="18"/>
      <c r="D26" s="18"/>
      <c r="E26" s="32" t="s">
        <v>354</v>
      </c>
      <c r="F26" s="32"/>
      <c r="G26" s="10"/>
      <c r="H26" s="19" t="s">
        <v>158</v>
      </c>
      <c r="I26" s="20">
        <v>5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588</v>
      </c>
      <c r="B27" s="18"/>
      <c r="C27" s="18"/>
      <c r="D27" s="18"/>
      <c r="E27" s="32" t="s">
        <v>582</v>
      </c>
      <c r="F27" s="32"/>
      <c r="G27" s="10"/>
      <c r="H27" s="19" t="s">
        <v>149</v>
      </c>
      <c r="I27" s="32">
        <v>1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583</v>
      </c>
      <c r="B28" s="18"/>
      <c r="C28" s="18"/>
      <c r="D28" s="18"/>
      <c r="E28" s="32" t="s">
        <v>362</v>
      </c>
      <c r="F28" s="36"/>
      <c r="G28" s="10"/>
      <c r="H28" s="19" t="s">
        <v>221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584</v>
      </c>
      <c r="B29" s="18"/>
      <c r="C29" s="18"/>
      <c r="D29" s="20" t="s">
        <v>354</v>
      </c>
      <c r="E29" s="32"/>
      <c r="F29" s="36"/>
      <c r="G29" s="10"/>
      <c r="H29" s="19" t="s">
        <v>491</v>
      </c>
      <c r="I29" s="32">
        <v>7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 t="s">
        <v>586</v>
      </c>
      <c r="B30" s="18"/>
      <c r="C30" s="18"/>
      <c r="D30" s="18"/>
      <c r="E30" s="32" t="s">
        <v>271</v>
      </c>
      <c r="F30" s="36"/>
      <c r="G30" s="10"/>
      <c r="H30" s="19" t="s">
        <v>128</v>
      </c>
      <c r="I30" s="32">
        <v>4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 t="s">
        <v>587</v>
      </c>
      <c r="B31" s="18"/>
      <c r="C31" s="18"/>
      <c r="D31" s="18"/>
      <c r="E31" s="32" t="s">
        <v>271</v>
      </c>
      <c r="F31" s="36"/>
      <c r="G31" s="10"/>
      <c r="H31" s="19" t="s">
        <v>213</v>
      </c>
      <c r="I31" s="32">
        <v>8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 t="s">
        <v>589</v>
      </c>
      <c r="B32" s="18"/>
      <c r="C32" s="18"/>
      <c r="D32" s="18"/>
      <c r="E32" s="32" t="s">
        <v>590</v>
      </c>
      <c r="F32" s="36"/>
      <c r="G32" s="10"/>
      <c r="H32" s="19" t="s">
        <v>492</v>
      </c>
      <c r="I32" s="32">
        <v>8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113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538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540</v>
      </c>
      <c r="I35" s="32">
        <v>1</v>
      </c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/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9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/>
  <cols>
    <col min="1" max="1" width="21" customWidth="1"/>
  </cols>
  <sheetData>
    <row r="1" spans="1:25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>
      <c r="A2" s="4" t="s">
        <v>7</v>
      </c>
      <c r="B2" s="6">
        <f>180+90+108+144+90+126+180+162+126+90+126+108+108+108+126+72+108+108+144+90+126+144+90+162+108+108+72+90+90+162</f>
        <v>3546</v>
      </c>
      <c r="C2" s="5">
        <f>288+306+144+216+108+144+288+288+144+198+324+216+270+126+108+126+198+198+72+288+54+162+252+108+144+306+342+108</f>
        <v>5526</v>
      </c>
      <c r="D2" s="6">
        <v>60</v>
      </c>
      <c r="E2" s="6">
        <f>54+54+54+54+54+60+60+54+54+60+54+60+54+54+54+60+54+54+54+54+54+54+54+60+54+18+54+54</f>
        <v>1512</v>
      </c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4" t="s">
        <v>8</v>
      </c>
      <c r="B3" s="6">
        <f>162+90+72+108+90+126+108+108+90+72+144+72+90+54+108+54+108+54+72+54+54+90+72+90+18+90+72+54+36+72+180</f>
        <v>2664</v>
      </c>
      <c r="C3" s="5"/>
      <c r="D3" s="6">
        <f>10</f>
        <v>10</v>
      </c>
      <c r="E3" s="6">
        <f>40+60+54</f>
        <v>154</v>
      </c>
      <c r="F3" s="6">
        <v>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>
      <c r="A4" s="4" t="s">
        <v>17</v>
      </c>
      <c r="B4" s="6"/>
      <c r="C4" s="5"/>
      <c r="D4" s="6"/>
      <c r="E4" s="6">
        <f>95+90+80+135+234</f>
        <v>634</v>
      </c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4" t="s">
        <v>38</v>
      </c>
      <c r="B5" s="6"/>
      <c r="C5" s="5"/>
      <c r="D5" s="6"/>
      <c r="E5" s="6">
        <v>12</v>
      </c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>
      <c r="A6" s="4" t="s">
        <v>39</v>
      </c>
      <c r="B6" s="6"/>
      <c r="C6" s="5"/>
      <c r="D6" s="6"/>
      <c r="E6" s="6">
        <v>12</v>
      </c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" t="s">
        <v>40</v>
      </c>
      <c r="B7" s="6"/>
      <c r="C7" s="5"/>
      <c r="D7" s="6"/>
      <c r="E7" s="6">
        <v>9</v>
      </c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>
      <c r="A8" s="4" t="s">
        <v>34</v>
      </c>
      <c r="B8" s="6"/>
      <c r="C8" s="5"/>
      <c r="D8" s="6"/>
      <c r="E8" s="6">
        <f>150</f>
        <v>150</v>
      </c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4" t="s">
        <v>41</v>
      </c>
      <c r="B9" s="6"/>
      <c r="C9" s="5"/>
      <c r="D9" s="6"/>
      <c r="E9" s="6">
        <f>250+218+80+129+80+100+200</f>
        <v>1057</v>
      </c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>
      <c r="A10" s="4" t="s">
        <v>20</v>
      </c>
      <c r="B10" s="6"/>
      <c r="C10" s="5"/>
      <c r="D10" s="6"/>
      <c r="E10" s="6">
        <f>150+360+500+238</f>
        <v>1248</v>
      </c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>
      <c r="A11" s="4" t="s">
        <v>42</v>
      </c>
      <c r="B11" s="6"/>
      <c r="C11" s="5"/>
      <c r="D11" s="6"/>
      <c r="E11" s="6">
        <f>164+78+120+128+256+126+138+190</f>
        <v>1200</v>
      </c>
      <c r="F11" s="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>
      <c r="A12" s="4" t="s">
        <v>43</v>
      </c>
      <c r="B12" s="6"/>
      <c r="C12" s="5"/>
      <c r="D12" s="6"/>
      <c r="E12" s="6">
        <f>879+700</f>
        <v>1579</v>
      </c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>
      <c r="A13" s="4" t="s">
        <v>37</v>
      </c>
      <c r="B13" s="6"/>
      <c r="C13" s="5"/>
      <c r="D13" s="6"/>
      <c r="E13" s="6">
        <f>30</f>
        <v>30</v>
      </c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>
      <c r="A14" s="4" t="s">
        <v>44</v>
      </c>
      <c r="B14" s="6"/>
      <c r="C14" s="5"/>
      <c r="D14" s="6"/>
      <c r="E14" s="6">
        <v>3</v>
      </c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>
      <c r="A15" s="4" t="s">
        <v>45</v>
      </c>
      <c r="B15" s="6"/>
      <c r="C15" s="5"/>
      <c r="D15" s="6">
        <v>170</v>
      </c>
      <c r="E15" s="6">
        <f>97+170</f>
        <v>267</v>
      </c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>
      <c r="A16" s="4" t="s">
        <v>23</v>
      </c>
      <c r="B16" s="6"/>
      <c r="C16" s="5"/>
      <c r="D16" s="6"/>
      <c r="E16" s="6" t="s">
        <v>46</v>
      </c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>
      <c r="A17" s="4" t="s">
        <v>47</v>
      </c>
      <c r="B17" s="6"/>
      <c r="C17" s="5"/>
      <c r="D17" s="6"/>
      <c r="E17" s="6">
        <v>1</v>
      </c>
      <c r="F17" s="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>
      <c r="A18" s="4" t="s">
        <v>48</v>
      </c>
      <c r="B18" s="6">
        <v>10</v>
      </c>
      <c r="C18" s="5"/>
      <c r="D18" s="6"/>
      <c r="E18" s="6">
        <v>200</v>
      </c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>
      <c r="A19" s="4" t="s">
        <v>49</v>
      </c>
      <c r="B19" s="6">
        <f>500</f>
        <v>500</v>
      </c>
      <c r="C19" s="5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>
      <c r="A20" s="4" t="s">
        <v>50</v>
      </c>
      <c r="B20" s="6"/>
      <c r="C20" s="5"/>
      <c r="D20" s="6">
        <v>4300</v>
      </c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>
      <c r="A21" s="4" t="s">
        <v>51</v>
      </c>
      <c r="B21" s="6"/>
      <c r="C21" s="5"/>
      <c r="D21" s="6">
        <f>12</f>
        <v>12</v>
      </c>
      <c r="E21" s="6" t="s">
        <v>52</v>
      </c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>
      <c r="A22" s="4" t="s">
        <v>53</v>
      </c>
      <c r="B22" s="6"/>
      <c r="C22" s="5"/>
      <c r="D22" s="6"/>
      <c r="E22" s="6">
        <f>300</f>
        <v>300</v>
      </c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>
      <c r="A23" s="4" t="s">
        <v>54</v>
      </c>
      <c r="B23" s="6"/>
      <c r="C23" s="5"/>
      <c r="D23" s="6"/>
      <c r="E23" s="6"/>
      <c r="F23" s="6">
        <v>340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>
      <c r="A24" s="4" t="s">
        <v>55</v>
      </c>
      <c r="B24" s="6"/>
      <c r="C24" s="5"/>
      <c r="D24" s="6"/>
      <c r="E24" s="6"/>
      <c r="F24" s="6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>
      <c r="A25" s="4" t="s">
        <v>56</v>
      </c>
      <c r="B25" s="6"/>
      <c r="C25" s="5"/>
      <c r="D25" s="6"/>
      <c r="E25" s="6"/>
      <c r="F25" s="6">
        <v>328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4" t="s">
        <v>57</v>
      </c>
      <c r="B26" s="6"/>
      <c r="C26" s="5"/>
      <c r="D26" s="6"/>
      <c r="E26" s="6"/>
      <c r="F26" s="6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4" t="s">
        <v>58</v>
      </c>
      <c r="B27" s="6"/>
      <c r="C27" s="5"/>
      <c r="D27" s="6"/>
      <c r="E27" s="6"/>
      <c r="F27" s="6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>
      <c r="A28" s="4" t="s">
        <v>59</v>
      </c>
      <c r="B28" s="6"/>
      <c r="C28" s="5"/>
      <c r="D28" s="6"/>
      <c r="E28" s="6"/>
      <c r="F28" s="6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4" t="s">
        <v>60</v>
      </c>
      <c r="B29" s="6"/>
      <c r="C29" s="5"/>
      <c r="D29" s="6"/>
      <c r="E29" s="6"/>
      <c r="F29" s="6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>
      <c r="A30" s="4" t="s">
        <v>61</v>
      </c>
      <c r="B30" s="6"/>
      <c r="C30" s="5"/>
      <c r="D30" s="6"/>
      <c r="E30" s="6"/>
      <c r="F30" s="6">
        <v>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>
      <c r="A31" s="4" t="s">
        <v>62</v>
      </c>
      <c r="B31" s="6"/>
      <c r="C31" s="5"/>
      <c r="D31" s="6"/>
      <c r="E31" s="6"/>
      <c r="F31" s="6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5">
      <c r="A32" s="4" t="s">
        <v>63</v>
      </c>
      <c r="B32" s="6"/>
      <c r="C32" s="5"/>
      <c r="D32" s="6"/>
      <c r="E32" s="6"/>
      <c r="F32" s="6">
        <v>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5">
      <c r="A33" s="4" t="s">
        <v>64</v>
      </c>
      <c r="B33" s="6"/>
      <c r="C33" s="5"/>
      <c r="D33" s="6"/>
      <c r="E33" s="6">
        <v>1200</v>
      </c>
      <c r="F33" s="6">
        <v>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5">
      <c r="A34" s="4" t="s">
        <v>65</v>
      </c>
      <c r="B34" s="6"/>
      <c r="C34" s="5"/>
      <c r="D34" s="6"/>
      <c r="E34" s="6"/>
      <c r="F34" s="6">
        <v>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5">
      <c r="A35" s="4" t="s">
        <v>66</v>
      </c>
      <c r="B35" s="6"/>
      <c r="C35" s="5"/>
      <c r="D35" s="6"/>
      <c r="E35" s="6"/>
      <c r="F35" s="6">
        <v>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5">
      <c r="A36" s="4" t="s">
        <v>67</v>
      </c>
      <c r="B36" s="6"/>
      <c r="C36" s="5"/>
      <c r="D36" s="6"/>
      <c r="E36" s="6">
        <v>100</v>
      </c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5">
      <c r="A37" s="4" t="s">
        <v>68</v>
      </c>
      <c r="B37" s="6">
        <f>18+20</f>
        <v>38</v>
      </c>
      <c r="C37" s="5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5">
      <c r="A38" s="4" t="s">
        <v>69</v>
      </c>
      <c r="B38" s="6"/>
      <c r="C38" s="5"/>
      <c r="D38" s="6">
        <v>140</v>
      </c>
      <c r="E38" s="6">
        <f>64</f>
        <v>64</v>
      </c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5">
      <c r="A39" s="4" t="s">
        <v>70</v>
      </c>
      <c r="B39" s="6"/>
      <c r="C39" s="5"/>
      <c r="D39" s="6"/>
      <c r="E39" s="6">
        <v>2</v>
      </c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5">
      <c r="A40" s="4" t="s">
        <v>71</v>
      </c>
      <c r="B40" s="6"/>
      <c r="C40" s="5"/>
      <c r="D40" s="6"/>
      <c r="E40" s="6">
        <v>150</v>
      </c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5">
      <c r="A41" s="4" t="s">
        <v>27</v>
      </c>
      <c r="B41" s="6"/>
      <c r="C41" s="5"/>
      <c r="D41" s="6"/>
      <c r="E41" s="6">
        <v>45</v>
      </c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5">
      <c r="A42" s="4" t="s">
        <v>28</v>
      </c>
      <c r="B42" s="6"/>
      <c r="C42" s="5"/>
      <c r="D42" s="6"/>
      <c r="E42" s="6">
        <f>24+14+62</f>
        <v>100</v>
      </c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5">
      <c r="A43" s="4" t="s">
        <v>72</v>
      </c>
      <c r="B43" s="6"/>
      <c r="C43" s="5"/>
      <c r="D43" s="6"/>
      <c r="E43" s="6">
        <v>93</v>
      </c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5">
      <c r="A44" s="4" t="s">
        <v>73</v>
      </c>
      <c r="B44" s="6"/>
      <c r="C44" s="5"/>
      <c r="D44" s="6"/>
      <c r="E44" s="6">
        <v>1</v>
      </c>
      <c r="F44" s="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5">
      <c r="A45" s="4" t="s">
        <v>74</v>
      </c>
      <c r="B45" s="6"/>
      <c r="C45" s="5"/>
      <c r="D45" s="6"/>
      <c r="E45" s="6">
        <v>1</v>
      </c>
      <c r="F45" s="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5">
      <c r="A46" s="4" t="s">
        <v>75</v>
      </c>
      <c r="B46" s="6"/>
      <c r="C46" s="5"/>
      <c r="D46" s="6"/>
      <c r="E46" s="6"/>
      <c r="F46" s="6">
        <v>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5">
      <c r="A47" s="4" t="s">
        <v>76</v>
      </c>
      <c r="B47" s="6"/>
      <c r="C47" s="5"/>
      <c r="D47" s="6"/>
      <c r="E47" s="6"/>
      <c r="F47" s="6">
        <v>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5">
      <c r="A48" s="4" t="s">
        <v>77</v>
      </c>
      <c r="B48" s="6"/>
      <c r="C48" s="5"/>
      <c r="D48" s="6"/>
      <c r="E48" s="6"/>
      <c r="F48" s="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5">
      <c r="A49" s="7" t="s">
        <v>78</v>
      </c>
      <c r="B49" s="8"/>
      <c r="C49" s="7"/>
      <c r="D49" s="8">
        <v>160</v>
      </c>
      <c r="E49" s="8">
        <v>60</v>
      </c>
      <c r="F49" s="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5">
      <c r="A50" s="7" t="s">
        <v>79</v>
      </c>
      <c r="B50" s="8"/>
      <c r="C50" s="7"/>
      <c r="D50" s="8"/>
      <c r="E50" s="8">
        <v>140</v>
      </c>
      <c r="F50" s="8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5">
      <c r="A51" s="7" t="s">
        <v>80</v>
      </c>
      <c r="B51" s="8"/>
      <c r="C51" s="7"/>
      <c r="D51" s="8"/>
      <c r="E51" s="8">
        <v>1</v>
      </c>
      <c r="F51" s="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5">
      <c r="A52" s="7" t="s">
        <v>12</v>
      </c>
      <c r="B52" s="8">
        <v>54</v>
      </c>
      <c r="C52" s="7"/>
      <c r="D52" s="8"/>
      <c r="E52" s="8"/>
      <c r="F52" s="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5">
      <c r="A53" s="7" t="s">
        <v>81</v>
      </c>
      <c r="B53" s="8"/>
      <c r="C53" s="7"/>
      <c r="D53" s="8"/>
      <c r="E53" s="8">
        <v>160</v>
      </c>
      <c r="F53" s="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5">
      <c r="A54" s="7" t="s">
        <v>82</v>
      </c>
      <c r="B54" s="8">
        <v>1</v>
      </c>
      <c r="C54" s="7"/>
      <c r="D54" s="8"/>
      <c r="E54" s="8"/>
      <c r="F54" s="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5">
      <c r="A55" s="7" t="s">
        <v>34</v>
      </c>
      <c r="B55" s="8"/>
      <c r="C55" s="7"/>
      <c r="D55" s="8"/>
      <c r="E55" s="8">
        <v>80</v>
      </c>
      <c r="F55" s="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5">
      <c r="A56" s="7" t="s">
        <v>83</v>
      </c>
      <c r="B56" s="8"/>
      <c r="C56" s="7"/>
      <c r="D56" s="8"/>
      <c r="E56" s="8">
        <v>110</v>
      </c>
      <c r="F56" s="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5">
      <c r="A57" s="7" t="s">
        <v>84</v>
      </c>
      <c r="B57" s="8"/>
      <c r="C57" s="7"/>
      <c r="D57" s="8">
        <v>240</v>
      </c>
      <c r="E57" s="8"/>
      <c r="F57" s="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5">
      <c r="A58" s="7" t="s">
        <v>85</v>
      </c>
      <c r="B58" s="8">
        <v>40</v>
      </c>
      <c r="C58" s="7"/>
      <c r="D58" s="8"/>
      <c r="E58" s="8"/>
      <c r="F58" s="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5">
      <c r="A59" s="7"/>
      <c r="B59" s="8"/>
      <c r="C59" s="7"/>
      <c r="D59" s="8"/>
      <c r="E59" s="8"/>
      <c r="F59" s="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5">
      <c r="A60" s="7"/>
      <c r="B60" s="8"/>
      <c r="C60" s="7"/>
      <c r="D60" s="8"/>
      <c r="E60" s="8"/>
      <c r="F60" s="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5">
      <c r="A61" s="7"/>
      <c r="B61" s="8"/>
      <c r="C61" s="7"/>
      <c r="D61" s="8"/>
      <c r="E61" s="8"/>
      <c r="F61" s="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5">
      <c r="A62" s="7"/>
      <c r="B62" s="8"/>
      <c r="C62" s="7"/>
      <c r="D62" s="8"/>
      <c r="E62" s="8"/>
      <c r="F62" s="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5">
      <c r="A63" s="7"/>
      <c r="B63" s="8"/>
      <c r="C63" s="7"/>
      <c r="D63" s="8"/>
      <c r="E63" s="8"/>
      <c r="F63" s="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5">
      <c r="A64" s="3"/>
      <c r="B64" s="9"/>
      <c r="C64" s="3"/>
      <c r="D64" s="9"/>
      <c r="E64" s="9"/>
      <c r="F64" s="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5">
      <c r="A65" s="3"/>
      <c r="B65" s="9"/>
      <c r="C65" s="3"/>
      <c r="D65" s="9"/>
      <c r="E65" s="9"/>
      <c r="F65" s="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5">
      <c r="A66" s="3"/>
      <c r="B66" s="9"/>
      <c r="C66" s="3"/>
      <c r="D66" s="9"/>
      <c r="E66" s="9"/>
      <c r="F66" s="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5">
      <c r="A67" s="3"/>
      <c r="B67" s="9"/>
      <c r="C67" s="3"/>
      <c r="D67" s="9"/>
      <c r="E67" s="9"/>
      <c r="F67" s="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5">
      <c r="A68" s="3"/>
      <c r="B68" s="9"/>
      <c r="C68" s="3"/>
      <c r="D68" s="9"/>
      <c r="E68" s="9"/>
      <c r="F68" s="9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5">
      <c r="A69" s="3"/>
      <c r="B69" s="9"/>
      <c r="C69" s="3"/>
      <c r="D69" s="9"/>
      <c r="E69" s="9"/>
      <c r="F69" s="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5">
      <c r="A70" s="3"/>
      <c r="B70" s="9"/>
      <c r="C70" s="3"/>
      <c r="D70" s="9"/>
      <c r="E70" s="9"/>
      <c r="F70" s="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5">
      <c r="A71" s="3"/>
      <c r="B71" s="9"/>
      <c r="C71" s="3"/>
      <c r="D71" s="9"/>
      <c r="E71" s="9"/>
      <c r="F71" s="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5">
      <c r="A72" s="3"/>
      <c r="B72" s="9"/>
      <c r="C72" s="3"/>
      <c r="D72" s="9"/>
      <c r="E72" s="9"/>
      <c r="F72" s="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5">
      <c r="A73" s="3"/>
      <c r="B73" s="9"/>
      <c r="C73" s="3"/>
      <c r="D73" s="9"/>
      <c r="E73" s="9"/>
      <c r="F73" s="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5">
      <c r="A74" s="3"/>
      <c r="B74" s="9"/>
      <c r="C74" s="3"/>
      <c r="D74" s="9"/>
      <c r="E74" s="9"/>
      <c r="F74" s="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5">
      <c r="A75" s="3"/>
      <c r="B75" s="9"/>
      <c r="C75" s="3"/>
      <c r="D75" s="9"/>
      <c r="E75" s="9"/>
      <c r="F75" s="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5">
      <c r="A76" s="3"/>
      <c r="B76" s="9"/>
      <c r="C76" s="3"/>
      <c r="D76" s="9"/>
      <c r="E76" s="9"/>
      <c r="F76" s="9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5">
      <c r="A77" s="3"/>
      <c r="B77" s="9"/>
      <c r="C77" s="3"/>
      <c r="D77" s="9"/>
      <c r="E77" s="9"/>
      <c r="F77" s="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5">
      <c r="A78" s="3"/>
      <c r="B78" s="9"/>
      <c r="C78" s="3"/>
      <c r="D78" s="9"/>
      <c r="E78" s="9"/>
      <c r="F78" s="9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5">
      <c r="A79" s="3"/>
      <c r="B79" s="9"/>
      <c r="C79" s="3"/>
      <c r="D79" s="9"/>
      <c r="E79" s="9"/>
      <c r="F79" s="9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5">
      <c r="A80" s="3"/>
      <c r="B80" s="9"/>
      <c r="C80" s="3"/>
      <c r="D80" s="9"/>
      <c r="E80" s="9"/>
      <c r="F80" s="9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5">
      <c r="A81" s="3"/>
      <c r="B81" s="9"/>
      <c r="C81" s="3"/>
      <c r="D81" s="9"/>
      <c r="E81" s="9"/>
      <c r="F81" s="9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5">
      <c r="A82" s="3"/>
      <c r="B82" s="9"/>
      <c r="C82" s="3"/>
      <c r="D82" s="9"/>
      <c r="E82" s="9"/>
      <c r="F82" s="9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5">
      <c r="A83" s="3"/>
      <c r="B83" s="9"/>
      <c r="C83" s="3"/>
      <c r="D83" s="9"/>
      <c r="E83" s="9"/>
      <c r="F83" s="9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5">
      <c r="A84" s="3"/>
      <c r="B84" s="9"/>
      <c r="C84" s="3"/>
      <c r="D84" s="9"/>
      <c r="E84" s="9"/>
      <c r="F84" s="9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5">
      <c r="A85" s="3"/>
      <c r="B85" s="9"/>
      <c r="C85" s="3"/>
      <c r="D85" s="9"/>
      <c r="E85" s="9"/>
      <c r="F85" s="9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5">
      <c r="A86" s="3"/>
      <c r="B86" s="9"/>
      <c r="C86" s="3"/>
      <c r="D86" s="9"/>
      <c r="E86" s="9"/>
      <c r="F86" s="9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5">
      <c r="A87" s="3"/>
      <c r="B87" s="9"/>
      <c r="C87" s="3"/>
      <c r="D87" s="9"/>
      <c r="E87" s="9"/>
      <c r="F87" s="9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5">
      <c r="A88" s="3"/>
      <c r="B88" s="9"/>
      <c r="C88" s="3"/>
      <c r="D88" s="9"/>
      <c r="E88" s="9"/>
      <c r="F88" s="9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5">
      <c r="A89" s="3"/>
      <c r="B89" s="9"/>
      <c r="C89" s="3"/>
      <c r="D89" s="9"/>
      <c r="E89" s="9"/>
      <c r="F89" s="9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5">
      <c r="A90" s="3"/>
      <c r="B90" s="9"/>
      <c r="C90" s="3"/>
      <c r="D90" s="9"/>
      <c r="E90" s="9"/>
      <c r="F90" s="9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5">
      <c r="A91" s="3"/>
      <c r="B91" s="9"/>
      <c r="C91" s="3"/>
      <c r="D91" s="9"/>
      <c r="E91" s="9"/>
      <c r="F91" s="9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5">
      <c r="A92" s="3"/>
      <c r="B92" s="9"/>
      <c r="C92" s="3"/>
      <c r="D92" s="9"/>
      <c r="E92" s="9"/>
      <c r="F92" s="9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5">
      <c r="A93" s="3"/>
      <c r="B93" s="9"/>
      <c r="C93" s="3"/>
      <c r="D93" s="9"/>
      <c r="E93" s="9"/>
      <c r="F93" s="9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5">
      <c r="A94" s="3"/>
      <c r="B94" s="9"/>
      <c r="C94" s="3"/>
      <c r="D94" s="9"/>
      <c r="E94" s="9"/>
      <c r="F94" s="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5">
      <c r="A95" s="3"/>
      <c r="B95" s="9"/>
      <c r="C95" s="3"/>
      <c r="D95" s="9"/>
      <c r="E95" s="9"/>
      <c r="F95" s="9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5">
      <c r="A96" s="3"/>
      <c r="B96" s="9"/>
      <c r="C96" s="3"/>
      <c r="D96" s="9"/>
      <c r="E96" s="9"/>
      <c r="F96" s="9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5">
      <c r="A97" s="3"/>
      <c r="B97" s="9"/>
      <c r="C97" s="3"/>
      <c r="D97" s="9"/>
      <c r="E97" s="9"/>
      <c r="F97" s="9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5">
      <c r="A98" s="3"/>
      <c r="B98" s="9"/>
      <c r="C98" s="3"/>
      <c r="D98" s="9"/>
      <c r="E98" s="9"/>
      <c r="F98" s="9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5">
      <c r="A99" s="3"/>
      <c r="B99" s="9"/>
      <c r="C99" s="3"/>
      <c r="D99" s="9"/>
      <c r="E99" s="9"/>
      <c r="F99" s="9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5">
      <c r="A100" s="3"/>
      <c r="B100" s="9"/>
      <c r="C100" s="3"/>
      <c r="D100" s="9"/>
      <c r="E100" s="9"/>
      <c r="F100" s="9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5">
      <c r="A101" s="3"/>
      <c r="B101" s="9"/>
      <c r="C101" s="3"/>
      <c r="D101" s="9"/>
      <c r="E101" s="9"/>
      <c r="F101" s="9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5">
      <c r="A102" s="3"/>
      <c r="B102" s="9"/>
      <c r="C102" s="3"/>
      <c r="D102" s="9"/>
      <c r="E102" s="9"/>
      <c r="F102" s="9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5">
      <c r="A103" s="3"/>
      <c r="B103" s="9"/>
      <c r="C103" s="3"/>
      <c r="D103" s="9"/>
      <c r="E103" s="9"/>
      <c r="F103" s="9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5">
      <c r="A104" s="3"/>
      <c r="B104" s="9"/>
      <c r="C104" s="3"/>
      <c r="D104" s="9"/>
      <c r="E104" s="9"/>
      <c r="F104" s="9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5">
      <c r="A105" s="3"/>
      <c r="B105" s="9"/>
      <c r="C105" s="3"/>
      <c r="D105" s="9"/>
      <c r="E105" s="9"/>
      <c r="F105" s="9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5">
      <c r="A106" s="3"/>
      <c r="B106" s="9"/>
      <c r="C106" s="3"/>
      <c r="D106" s="9"/>
      <c r="E106" s="9"/>
      <c r="F106" s="9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5">
      <c r="A107" s="3"/>
      <c r="B107" s="9"/>
      <c r="C107" s="3"/>
      <c r="D107" s="9"/>
      <c r="E107" s="9"/>
      <c r="F107" s="9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5">
      <c r="A108" s="3"/>
      <c r="B108" s="9"/>
      <c r="C108" s="3"/>
      <c r="D108" s="9"/>
      <c r="E108" s="9"/>
      <c r="F108" s="9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5">
      <c r="A109" s="3"/>
      <c r="B109" s="9"/>
      <c r="C109" s="3"/>
      <c r="D109" s="9"/>
      <c r="E109" s="9"/>
      <c r="F109" s="9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5">
      <c r="A110" s="3"/>
      <c r="B110" s="9"/>
      <c r="C110" s="3"/>
      <c r="D110" s="9"/>
      <c r="E110" s="9"/>
      <c r="F110" s="9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5">
      <c r="A111" s="3"/>
      <c r="B111" s="9"/>
      <c r="C111" s="3"/>
      <c r="D111" s="9"/>
      <c r="E111" s="9"/>
      <c r="F111" s="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5">
      <c r="A112" s="3"/>
      <c r="B112" s="9"/>
      <c r="C112" s="3"/>
      <c r="D112" s="9"/>
      <c r="E112" s="9"/>
      <c r="F112" s="9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5">
      <c r="A113" s="3"/>
      <c r="B113" s="9"/>
      <c r="C113" s="3"/>
      <c r="D113" s="9"/>
      <c r="E113" s="9"/>
      <c r="F113" s="9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5">
      <c r="A114" s="3"/>
      <c r="B114" s="9"/>
      <c r="C114" s="3"/>
      <c r="D114" s="9"/>
      <c r="E114" s="9"/>
      <c r="F114" s="9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5">
      <c r="A115" s="3"/>
      <c r="B115" s="9"/>
      <c r="C115" s="3"/>
      <c r="D115" s="9"/>
      <c r="E115" s="9"/>
      <c r="F115" s="9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5">
      <c r="A116" s="3"/>
      <c r="B116" s="9"/>
      <c r="C116" s="3"/>
      <c r="D116" s="9"/>
      <c r="E116" s="9"/>
      <c r="F116" s="9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5">
      <c r="A117" s="3"/>
      <c r="B117" s="9"/>
      <c r="C117" s="3"/>
      <c r="D117" s="9"/>
      <c r="E117" s="9"/>
      <c r="F117" s="9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5">
      <c r="A118" s="3"/>
      <c r="B118" s="9"/>
      <c r="C118" s="3"/>
      <c r="D118" s="9"/>
      <c r="E118" s="9"/>
      <c r="F118" s="9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5">
      <c r="A119" s="3"/>
      <c r="B119" s="9"/>
      <c r="C119" s="3"/>
      <c r="D119" s="9"/>
      <c r="E119" s="9"/>
      <c r="F119" s="9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5">
      <c r="A120" s="3"/>
      <c r="B120" s="9"/>
      <c r="C120" s="3"/>
      <c r="D120" s="9"/>
      <c r="E120" s="9"/>
      <c r="F120" s="9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5">
      <c r="A121" s="3"/>
      <c r="B121" s="9"/>
      <c r="C121" s="3"/>
      <c r="D121" s="9"/>
      <c r="E121" s="9"/>
      <c r="F121" s="9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5">
      <c r="A122" s="3"/>
      <c r="B122" s="9"/>
      <c r="C122" s="3"/>
      <c r="D122" s="9"/>
      <c r="E122" s="9"/>
      <c r="F122" s="9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5">
      <c r="A123" s="3"/>
      <c r="B123" s="9"/>
      <c r="C123" s="3"/>
      <c r="D123" s="9"/>
      <c r="E123" s="9"/>
      <c r="F123" s="9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5">
      <c r="A124" s="3"/>
      <c r="B124" s="9"/>
      <c r="C124" s="3"/>
      <c r="D124" s="9"/>
      <c r="E124" s="9"/>
      <c r="F124" s="9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5">
      <c r="A125" s="3"/>
      <c r="B125" s="9"/>
      <c r="C125" s="3"/>
      <c r="D125" s="9"/>
      <c r="E125" s="9"/>
      <c r="F125" s="9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5">
      <c r="A126" s="3"/>
      <c r="B126" s="9"/>
      <c r="C126" s="3"/>
      <c r="D126" s="9"/>
      <c r="E126" s="9"/>
      <c r="F126" s="9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5">
      <c r="A127" s="3"/>
      <c r="B127" s="9"/>
      <c r="C127" s="3"/>
      <c r="D127" s="9"/>
      <c r="E127" s="9"/>
      <c r="F127" s="9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5">
      <c r="A128" s="3"/>
      <c r="B128" s="9"/>
      <c r="C128" s="3"/>
      <c r="D128" s="9"/>
      <c r="E128" s="9"/>
      <c r="F128" s="9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5">
      <c r="A129" s="3"/>
      <c r="B129" s="9"/>
      <c r="C129" s="3"/>
      <c r="D129" s="9"/>
      <c r="E129" s="9"/>
      <c r="F129" s="9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5">
      <c r="A130" s="3"/>
      <c r="B130" s="9"/>
      <c r="C130" s="3"/>
      <c r="D130" s="9"/>
      <c r="E130" s="9"/>
      <c r="F130" s="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5">
      <c r="A131" s="3"/>
      <c r="B131" s="9"/>
      <c r="C131" s="3"/>
      <c r="D131" s="9"/>
      <c r="E131" s="9"/>
      <c r="F131" s="9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5">
      <c r="A132" s="3"/>
      <c r="B132" s="9"/>
      <c r="C132" s="3"/>
      <c r="D132" s="9"/>
      <c r="E132" s="9"/>
      <c r="F132" s="9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5">
      <c r="A133" s="3"/>
      <c r="B133" s="9"/>
      <c r="C133" s="3"/>
      <c r="D133" s="9"/>
      <c r="E133" s="9"/>
      <c r="F133" s="9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5">
      <c r="A134" s="3"/>
      <c r="B134" s="9"/>
      <c r="C134" s="3"/>
      <c r="D134" s="9"/>
      <c r="E134" s="9"/>
      <c r="F134" s="9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5">
      <c r="A135" s="3"/>
      <c r="B135" s="9"/>
      <c r="C135" s="3"/>
      <c r="D135" s="9"/>
      <c r="E135" s="9"/>
      <c r="F135" s="9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5">
      <c r="A136" s="3"/>
      <c r="B136" s="9"/>
      <c r="C136" s="3"/>
      <c r="D136" s="9"/>
      <c r="E136" s="9"/>
      <c r="F136" s="9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5">
      <c r="A137" s="3"/>
      <c r="B137" s="9"/>
      <c r="C137" s="3"/>
      <c r="D137" s="9"/>
      <c r="E137" s="9"/>
      <c r="F137" s="9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5">
      <c r="A138" s="3"/>
      <c r="B138" s="9"/>
      <c r="C138" s="3"/>
      <c r="D138" s="9"/>
      <c r="E138" s="9"/>
      <c r="F138" s="9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5">
      <c r="A139" s="3"/>
      <c r="B139" s="9"/>
      <c r="C139" s="3"/>
      <c r="D139" s="9"/>
      <c r="E139" s="9"/>
      <c r="F139" s="9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5">
      <c r="A140" s="3"/>
      <c r="B140" s="9"/>
      <c r="C140" s="3"/>
      <c r="D140" s="9"/>
      <c r="E140" s="9"/>
      <c r="F140" s="9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5">
      <c r="A141" s="3"/>
      <c r="B141" s="9"/>
      <c r="C141" s="3"/>
      <c r="D141" s="9"/>
      <c r="E141" s="9"/>
      <c r="F141" s="9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5">
      <c r="A142" s="3"/>
      <c r="B142" s="9"/>
      <c r="C142" s="3"/>
      <c r="D142" s="9"/>
      <c r="E142" s="9"/>
      <c r="F142" s="9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5">
      <c r="A143" s="3"/>
      <c r="B143" s="9"/>
      <c r="C143" s="3"/>
      <c r="D143" s="9"/>
      <c r="E143" s="9"/>
      <c r="F143" s="9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5">
      <c r="A144" s="3"/>
      <c r="B144" s="9"/>
      <c r="C144" s="3"/>
      <c r="D144" s="9"/>
      <c r="E144" s="9"/>
      <c r="F144" s="9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5">
      <c r="A145" s="3"/>
      <c r="B145" s="9"/>
      <c r="C145" s="3"/>
      <c r="D145" s="9"/>
      <c r="E145" s="9"/>
      <c r="F145" s="9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5">
      <c r="A146" s="3"/>
      <c r="B146" s="9"/>
      <c r="C146" s="3"/>
      <c r="D146" s="9"/>
      <c r="E146" s="9"/>
      <c r="F146" s="9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5">
      <c r="A147" s="3"/>
      <c r="B147" s="9"/>
      <c r="C147" s="3"/>
      <c r="D147" s="9"/>
      <c r="E147" s="9"/>
      <c r="F147" s="9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5">
      <c r="A148" s="3"/>
      <c r="B148" s="9"/>
      <c r="C148" s="3"/>
      <c r="D148" s="9"/>
      <c r="E148" s="9"/>
      <c r="F148" s="9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5">
      <c r="A149" s="3"/>
      <c r="B149" s="9"/>
      <c r="C149" s="3"/>
      <c r="D149" s="9"/>
      <c r="E149" s="9"/>
      <c r="F149" s="9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5">
      <c r="A150" s="3"/>
      <c r="B150" s="9"/>
      <c r="C150" s="3"/>
      <c r="D150" s="9"/>
      <c r="E150" s="9"/>
      <c r="F150" s="9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5">
      <c r="A151" s="3"/>
      <c r="B151" s="9"/>
      <c r="C151" s="3"/>
      <c r="D151" s="9"/>
      <c r="E151" s="9"/>
      <c r="F151" s="9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5">
      <c r="A152" s="3"/>
      <c r="B152" s="9"/>
      <c r="C152" s="3"/>
      <c r="D152" s="9"/>
      <c r="E152" s="9"/>
      <c r="F152" s="9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5">
      <c r="A153" s="3"/>
      <c r="B153" s="9"/>
      <c r="C153" s="3"/>
      <c r="D153" s="9"/>
      <c r="E153" s="9"/>
      <c r="F153" s="9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5">
      <c r="A154" s="3"/>
      <c r="B154" s="9"/>
      <c r="C154" s="3"/>
      <c r="D154" s="9"/>
      <c r="E154" s="9"/>
      <c r="F154" s="9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5">
      <c r="A155" s="3"/>
      <c r="B155" s="9"/>
      <c r="C155" s="3"/>
      <c r="D155" s="9"/>
      <c r="E155" s="9"/>
      <c r="F155" s="9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5">
      <c r="A156" s="3"/>
      <c r="B156" s="9"/>
      <c r="C156" s="3"/>
      <c r="D156" s="9"/>
      <c r="E156" s="9"/>
      <c r="F156" s="9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5">
      <c r="A157" s="3"/>
      <c r="B157" s="9"/>
      <c r="C157" s="3"/>
      <c r="D157" s="9"/>
      <c r="E157" s="9"/>
      <c r="F157" s="9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5">
      <c r="A158" s="3"/>
      <c r="B158" s="9"/>
      <c r="C158" s="3"/>
      <c r="D158" s="9"/>
      <c r="E158" s="9"/>
      <c r="F158" s="9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5">
      <c r="A159" s="3"/>
      <c r="B159" s="9"/>
      <c r="C159" s="3"/>
      <c r="D159" s="9"/>
      <c r="E159" s="9"/>
      <c r="F159" s="9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5">
      <c r="A160" s="3"/>
      <c r="B160" s="9"/>
      <c r="C160" s="3"/>
      <c r="D160" s="9"/>
      <c r="E160" s="9"/>
      <c r="F160" s="9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5">
      <c r="A161" s="3"/>
      <c r="B161" s="9"/>
      <c r="C161" s="3"/>
      <c r="D161" s="9"/>
      <c r="E161" s="9"/>
      <c r="F161" s="9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5">
      <c r="A162" s="3"/>
      <c r="B162" s="9"/>
      <c r="C162" s="3"/>
      <c r="D162" s="9"/>
      <c r="E162" s="9"/>
      <c r="F162" s="9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5">
      <c r="A163" s="3"/>
      <c r="B163" s="9"/>
      <c r="C163" s="3"/>
      <c r="D163" s="9"/>
      <c r="E163" s="9"/>
      <c r="F163" s="9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5">
      <c r="A164" s="3"/>
      <c r="B164" s="9"/>
      <c r="C164" s="3"/>
      <c r="D164" s="9"/>
      <c r="E164" s="9"/>
      <c r="F164" s="9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5">
      <c r="A165" s="3"/>
      <c r="B165" s="9"/>
      <c r="C165" s="3"/>
      <c r="D165" s="9"/>
      <c r="E165" s="9"/>
      <c r="F165" s="9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5">
      <c r="A166" s="3"/>
      <c r="B166" s="9"/>
      <c r="C166" s="3"/>
      <c r="D166" s="9"/>
      <c r="E166" s="9"/>
      <c r="F166" s="9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5">
      <c r="A167" s="3"/>
      <c r="B167" s="9"/>
      <c r="C167" s="3"/>
      <c r="D167" s="9"/>
      <c r="E167" s="9"/>
      <c r="F167" s="9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5">
      <c r="A168" s="3"/>
      <c r="B168" s="9"/>
      <c r="C168" s="3"/>
      <c r="D168" s="9"/>
      <c r="E168" s="9"/>
      <c r="F168" s="9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5">
      <c r="A169" s="3"/>
      <c r="B169" s="9"/>
      <c r="C169" s="3"/>
      <c r="D169" s="9"/>
      <c r="E169" s="9"/>
      <c r="F169" s="9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5">
      <c r="A170" s="3"/>
      <c r="B170" s="9"/>
      <c r="C170" s="3"/>
      <c r="D170" s="9"/>
      <c r="E170" s="9"/>
      <c r="F170" s="9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5">
      <c r="A171" s="3"/>
      <c r="B171" s="9"/>
      <c r="C171" s="3"/>
      <c r="D171" s="9"/>
      <c r="E171" s="9"/>
      <c r="F171" s="9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5">
      <c r="A172" s="3"/>
      <c r="B172" s="9"/>
      <c r="C172" s="3"/>
      <c r="D172" s="9"/>
      <c r="E172" s="9"/>
      <c r="F172" s="9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5">
      <c r="A173" s="3"/>
      <c r="B173" s="9"/>
      <c r="C173" s="3"/>
      <c r="D173" s="9"/>
      <c r="E173" s="9"/>
      <c r="F173" s="9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5">
      <c r="A174" s="3"/>
      <c r="B174" s="9"/>
      <c r="C174" s="3"/>
      <c r="D174" s="9"/>
      <c r="E174" s="9"/>
      <c r="F174" s="9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5">
      <c r="A175" s="3"/>
      <c r="B175" s="9"/>
      <c r="C175" s="3"/>
      <c r="D175" s="9"/>
      <c r="E175" s="9"/>
      <c r="F175" s="9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5">
      <c r="A176" s="3"/>
      <c r="B176" s="9"/>
      <c r="C176" s="3"/>
      <c r="D176" s="9"/>
      <c r="E176" s="9"/>
      <c r="F176" s="9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5">
      <c r="A177" s="3"/>
      <c r="B177" s="9"/>
      <c r="C177" s="3"/>
      <c r="D177" s="9"/>
      <c r="E177" s="9"/>
      <c r="F177" s="9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5">
      <c r="A178" s="3"/>
      <c r="B178" s="9"/>
      <c r="C178" s="3"/>
      <c r="D178" s="9"/>
      <c r="E178" s="9"/>
      <c r="F178" s="9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5">
      <c r="A179" s="3"/>
      <c r="B179" s="9"/>
      <c r="C179" s="3"/>
      <c r="D179" s="9"/>
      <c r="E179" s="9"/>
      <c r="F179" s="9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5">
      <c r="A180" s="3"/>
      <c r="B180" s="9"/>
      <c r="C180" s="3"/>
      <c r="D180" s="9"/>
      <c r="E180" s="9"/>
      <c r="F180" s="9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5">
      <c r="A181" s="3"/>
      <c r="B181" s="9"/>
      <c r="C181" s="3"/>
      <c r="D181" s="9"/>
      <c r="E181" s="9"/>
      <c r="F181" s="9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5">
      <c r="A182" s="3"/>
      <c r="B182" s="9"/>
      <c r="C182" s="3"/>
      <c r="D182" s="9"/>
      <c r="E182" s="9"/>
      <c r="F182" s="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5">
      <c r="A183" s="3"/>
      <c r="B183" s="9"/>
      <c r="C183" s="3"/>
      <c r="D183" s="9"/>
      <c r="E183" s="9"/>
      <c r="F183" s="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5">
      <c r="A184" s="3"/>
      <c r="B184" s="9"/>
      <c r="C184" s="3"/>
      <c r="D184" s="9"/>
      <c r="E184" s="9"/>
      <c r="F184" s="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5">
      <c r="A185" s="3"/>
      <c r="B185" s="9"/>
      <c r="C185" s="3"/>
      <c r="D185" s="9"/>
      <c r="E185" s="9"/>
      <c r="F185" s="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5">
      <c r="A186" s="3"/>
      <c r="B186" s="9"/>
      <c r="C186" s="3"/>
      <c r="D186" s="9"/>
      <c r="E186" s="9"/>
      <c r="F186" s="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5">
      <c r="A187" s="3"/>
      <c r="B187" s="9"/>
      <c r="C187" s="3"/>
      <c r="D187" s="9"/>
      <c r="E187" s="9"/>
      <c r="F187" s="9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5">
      <c r="A188" s="3"/>
      <c r="B188" s="9"/>
      <c r="C188" s="3"/>
      <c r="D188" s="9"/>
      <c r="E188" s="9"/>
      <c r="F188" s="9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5">
      <c r="A189" s="3"/>
      <c r="B189" s="9"/>
      <c r="C189" s="3"/>
      <c r="D189" s="9"/>
      <c r="E189" s="9"/>
      <c r="F189" s="9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5">
      <c r="A190" s="3"/>
      <c r="B190" s="9"/>
      <c r="C190" s="3"/>
      <c r="D190" s="9"/>
      <c r="E190" s="9"/>
      <c r="F190" s="9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5">
      <c r="A191" s="3"/>
      <c r="B191" s="9"/>
      <c r="C191" s="3"/>
      <c r="D191" s="9"/>
      <c r="E191" s="9"/>
      <c r="F191" s="9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5">
      <c r="A192" s="3"/>
      <c r="B192" s="9"/>
      <c r="C192" s="3"/>
      <c r="D192" s="9"/>
      <c r="E192" s="9"/>
      <c r="F192" s="9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5">
      <c r="A193" s="3"/>
      <c r="B193" s="9"/>
      <c r="C193" s="3"/>
      <c r="D193" s="9"/>
      <c r="E193" s="9"/>
      <c r="F193" s="9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5">
      <c r="A194" s="3"/>
      <c r="B194" s="9"/>
      <c r="C194" s="3"/>
      <c r="D194" s="9"/>
      <c r="E194" s="9"/>
      <c r="F194" s="9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5">
      <c r="A195" s="3"/>
      <c r="B195" s="9"/>
      <c r="C195" s="3"/>
      <c r="D195" s="9"/>
      <c r="E195" s="9"/>
      <c r="F195" s="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5">
      <c r="A196" s="3"/>
      <c r="B196" s="9"/>
      <c r="C196" s="3"/>
      <c r="D196" s="9"/>
      <c r="E196" s="9"/>
      <c r="F196" s="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5">
      <c r="A197" s="3"/>
      <c r="B197" s="9"/>
      <c r="C197" s="3"/>
      <c r="D197" s="9"/>
      <c r="E197" s="9"/>
      <c r="F197" s="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5">
      <c r="A198" s="3"/>
      <c r="B198" s="9"/>
      <c r="C198" s="3"/>
      <c r="D198" s="9"/>
      <c r="E198" s="9"/>
      <c r="F198" s="9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5">
      <c r="A199" s="3"/>
      <c r="B199" s="9"/>
      <c r="C199" s="3"/>
      <c r="D199" s="9"/>
      <c r="E199" s="9"/>
      <c r="F199" s="9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5">
      <c r="A200" s="3"/>
      <c r="B200" s="9"/>
      <c r="C200" s="3"/>
      <c r="D200" s="9"/>
      <c r="E200" s="9"/>
      <c r="F200" s="9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5">
      <c r="A201" s="3"/>
      <c r="B201" s="9"/>
      <c r="C201" s="3"/>
      <c r="D201" s="9"/>
      <c r="E201" s="9"/>
      <c r="F201" s="9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5">
      <c r="A202" s="3"/>
      <c r="B202" s="9"/>
      <c r="C202" s="3"/>
      <c r="D202" s="9"/>
      <c r="E202" s="9"/>
      <c r="F202" s="9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5">
      <c r="A203" s="3"/>
      <c r="B203" s="9"/>
      <c r="C203" s="3"/>
      <c r="D203" s="9"/>
      <c r="E203" s="9"/>
      <c r="F203" s="9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5">
      <c r="A204" s="3"/>
      <c r="B204" s="9"/>
      <c r="C204" s="3"/>
      <c r="D204" s="9"/>
      <c r="E204" s="9"/>
      <c r="F204" s="9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5">
      <c r="A205" s="3"/>
      <c r="B205" s="9"/>
      <c r="C205" s="3"/>
      <c r="D205" s="9"/>
      <c r="E205" s="9"/>
      <c r="F205" s="9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5">
      <c r="A206" s="3"/>
      <c r="B206" s="9"/>
      <c r="C206" s="3"/>
      <c r="D206" s="9"/>
      <c r="E206" s="9"/>
      <c r="F206" s="9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5">
      <c r="A207" s="3"/>
      <c r="B207" s="9"/>
      <c r="C207" s="3"/>
      <c r="D207" s="9"/>
      <c r="E207" s="9"/>
      <c r="F207" s="9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5">
      <c r="A208" s="3"/>
      <c r="B208" s="9"/>
      <c r="C208" s="3"/>
      <c r="D208" s="9"/>
      <c r="E208" s="9"/>
      <c r="F208" s="9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5">
      <c r="A209" s="3"/>
      <c r="B209" s="9"/>
      <c r="C209" s="3"/>
      <c r="D209" s="9"/>
      <c r="E209" s="9"/>
      <c r="F209" s="9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5">
      <c r="A210" s="3"/>
      <c r="B210" s="9"/>
      <c r="C210" s="3"/>
      <c r="D210" s="9"/>
      <c r="E210" s="9"/>
      <c r="F210" s="9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5">
      <c r="A211" s="3"/>
      <c r="B211" s="9"/>
      <c r="C211" s="3"/>
      <c r="D211" s="9"/>
      <c r="E211" s="9"/>
      <c r="F211" s="9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5">
      <c r="A212" s="3"/>
      <c r="B212" s="9"/>
      <c r="C212" s="3"/>
      <c r="D212" s="9"/>
      <c r="E212" s="9"/>
      <c r="F212" s="9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5">
      <c r="A213" s="3"/>
      <c r="B213" s="9"/>
      <c r="C213" s="3"/>
      <c r="D213" s="9"/>
      <c r="E213" s="9"/>
      <c r="F213" s="9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5">
      <c r="A214" s="3"/>
      <c r="B214" s="9"/>
      <c r="C214" s="3"/>
      <c r="D214" s="9"/>
      <c r="E214" s="9"/>
      <c r="F214" s="9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5">
      <c r="A215" s="3"/>
      <c r="B215" s="9"/>
      <c r="C215" s="3"/>
      <c r="D215" s="9"/>
      <c r="E215" s="9"/>
      <c r="F215" s="9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5">
      <c r="A216" s="3"/>
      <c r="B216" s="9"/>
      <c r="C216" s="3"/>
      <c r="D216" s="9"/>
      <c r="E216" s="9"/>
      <c r="F216" s="9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5">
      <c r="A217" s="3"/>
      <c r="B217" s="9"/>
      <c r="C217" s="3"/>
      <c r="D217" s="9"/>
      <c r="E217" s="9"/>
      <c r="F217" s="9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5">
      <c r="A218" s="3"/>
      <c r="B218" s="9"/>
      <c r="C218" s="3"/>
      <c r="D218" s="9"/>
      <c r="E218" s="9"/>
      <c r="F218" s="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5">
      <c r="A219" s="3"/>
      <c r="B219" s="9"/>
      <c r="C219" s="3"/>
      <c r="D219" s="9"/>
      <c r="E219" s="9"/>
      <c r="F219" s="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5">
      <c r="A220" s="3"/>
      <c r="B220" s="9"/>
      <c r="C220" s="3"/>
      <c r="D220" s="9"/>
      <c r="E220" s="9"/>
      <c r="F220" s="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5">
      <c r="A221" s="3"/>
      <c r="B221" s="9"/>
      <c r="C221" s="3"/>
      <c r="D221" s="9"/>
      <c r="E221" s="9"/>
      <c r="F221" s="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5">
      <c r="A222" s="3"/>
      <c r="B222" s="9"/>
      <c r="C222" s="3"/>
      <c r="D222" s="9"/>
      <c r="E222" s="9"/>
      <c r="F222" s="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5">
      <c r="A223" s="3"/>
      <c r="B223" s="9"/>
      <c r="C223" s="3"/>
      <c r="D223" s="9"/>
      <c r="E223" s="9"/>
      <c r="F223" s="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5">
      <c r="A224" s="3"/>
      <c r="B224" s="9"/>
      <c r="C224" s="3"/>
      <c r="D224" s="9"/>
      <c r="E224" s="9"/>
      <c r="F224" s="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5">
      <c r="A225" s="3"/>
      <c r="B225" s="9"/>
      <c r="C225" s="3"/>
      <c r="D225" s="9"/>
      <c r="E225" s="9"/>
      <c r="F225" s="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5">
      <c r="A226" s="3"/>
      <c r="B226" s="9"/>
      <c r="C226" s="3"/>
      <c r="D226" s="9"/>
      <c r="E226" s="9"/>
      <c r="F226" s="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5">
      <c r="A227" s="3"/>
      <c r="B227" s="9"/>
      <c r="C227" s="3"/>
      <c r="D227" s="9"/>
      <c r="E227" s="9"/>
      <c r="F227" s="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5">
      <c r="A228" s="3"/>
      <c r="B228" s="9"/>
      <c r="C228" s="3"/>
      <c r="D228" s="9"/>
      <c r="E228" s="9"/>
      <c r="F228" s="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5">
      <c r="A229" s="3"/>
      <c r="B229" s="9"/>
      <c r="C229" s="3"/>
      <c r="D229" s="9"/>
      <c r="E229" s="9"/>
      <c r="F229" s="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5">
      <c r="A230" s="3"/>
      <c r="B230" s="9"/>
      <c r="C230" s="3"/>
      <c r="D230" s="9"/>
      <c r="E230" s="9"/>
      <c r="F230" s="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5">
      <c r="A231" s="3"/>
      <c r="B231" s="9"/>
      <c r="C231" s="3"/>
      <c r="D231" s="9"/>
      <c r="E231" s="9"/>
      <c r="F231" s="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5">
      <c r="A232" s="3"/>
      <c r="B232" s="9"/>
      <c r="C232" s="3"/>
      <c r="D232" s="9"/>
      <c r="E232" s="9"/>
      <c r="F232" s="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5">
      <c r="A233" s="3"/>
      <c r="B233" s="9"/>
      <c r="C233" s="3"/>
      <c r="D233" s="9"/>
      <c r="E233" s="9"/>
      <c r="F233" s="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5">
      <c r="A234" s="3"/>
      <c r="B234" s="9"/>
      <c r="C234" s="3"/>
      <c r="D234" s="9"/>
      <c r="E234" s="9"/>
      <c r="F234" s="9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5">
      <c r="A235" s="3"/>
      <c r="B235" s="9"/>
      <c r="C235" s="3"/>
      <c r="D235" s="9"/>
      <c r="E235" s="9"/>
      <c r="F235" s="9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5">
      <c r="A236" s="3"/>
      <c r="B236" s="9"/>
      <c r="C236" s="3"/>
      <c r="D236" s="9"/>
      <c r="E236" s="9"/>
      <c r="F236" s="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5">
      <c r="A237" s="3"/>
      <c r="B237" s="9"/>
      <c r="C237" s="3"/>
      <c r="D237" s="9"/>
      <c r="E237" s="9"/>
      <c r="F237" s="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5">
      <c r="A238" s="3"/>
      <c r="B238" s="9"/>
      <c r="C238" s="3"/>
      <c r="D238" s="9"/>
      <c r="E238" s="9"/>
      <c r="F238" s="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5">
      <c r="A239" s="3"/>
      <c r="B239" s="9"/>
      <c r="C239" s="3"/>
      <c r="D239" s="9"/>
      <c r="E239" s="9"/>
      <c r="F239" s="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5">
      <c r="A240" s="3"/>
      <c r="B240" s="9"/>
      <c r="C240" s="3"/>
      <c r="D240" s="9"/>
      <c r="E240" s="9"/>
      <c r="F240" s="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5">
      <c r="A241" s="3"/>
      <c r="B241" s="9"/>
      <c r="C241" s="3"/>
      <c r="D241" s="9"/>
      <c r="E241" s="9"/>
      <c r="F241" s="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5">
      <c r="A242" s="3"/>
      <c r="B242" s="9"/>
      <c r="C242" s="3"/>
      <c r="D242" s="9"/>
      <c r="E242" s="9"/>
      <c r="F242" s="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5">
      <c r="A243" s="3"/>
      <c r="B243" s="9"/>
      <c r="C243" s="3"/>
      <c r="D243" s="9"/>
      <c r="E243" s="9"/>
      <c r="F243" s="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5">
      <c r="A244" s="3"/>
      <c r="B244" s="9"/>
      <c r="C244" s="3"/>
      <c r="D244" s="9"/>
      <c r="E244" s="9"/>
      <c r="F244" s="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5">
      <c r="A245" s="3"/>
      <c r="B245" s="9"/>
      <c r="C245" s="3"/>
      <c r="D245" s="9"/>
      <c r="E245" s="9"/>
      <c r="F245" s="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5">
      <c r="A246" s="3"/>
      <c r="B246" s="9"/>
      <c r="C246" s="3"/>
      <c r="D246" s="9"/>
      <c r="E246" s="9"/>
      <c r="F246" s="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5">
      <c r="A247" s="3"/>
      <c r="B247" s="9"/>
      <c r="C247" s="3"/>
      <c r="D247" s="9"/>
      <c r="E247" s="9"/>
      <c r="F247" s="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5">
      <c r="A248" s="3"/>
      <c r="B248" s="9"/>
      <c r="C248" s="3"/>
      <c r="D248" s="9"/>
      <c r="E248" s="9"/>
      <c r="F248" s="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5">
      <c r="A249" s="3"/>
      <c r="B249" s="9"/>
      <c r="C249" s="3"/>
      <c r="D249" s="9"/>
      <c r="E249" s="9"/>
      <c r="F249" s="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5">
      <c r="A250" s="3"/>
      <c r="B250" s="9"/>
      <c r="C250" s="3"/>
      <c r="D250" s="9"/>
      <c r="E250" s="9"/>
      <c r="F250" s="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5">
      <c r="A251" s="3"/>
      <c r="B251" s="9"/>
      <c r="C251" s="3"/>
      <c r="D251" s="9"/>
      <c r="E251" s="9"/>
      <c r="F251" s="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5">
      <c r="A252" s="3"/>
      <c r="B252" s="9"/>
      <c r="C252" s="3"/>
      <c r="D252" s="9"/>
      <c r="E252" s="9"/>
      <c r="F252" s="9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5">
      <c r="A253" s="3"/>
      <c r="B253" s="9"/>
      <c r="C253" s="3"/>
      <c r="D253" s="9"/>
      <c r="E253" s="9"/>
      <c r="F253" s="9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5">
      <c r="A254" s="3"/>
      <c r="B254" s="9"/>
      <c r="C254" s="3"/>
      <c r="D254" s="9"/>
      <c r="E254" s="9"/>
      <c r="F254" s="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5">
      <c r="A255" s="3"/>
      <c r="B255" s="9"/>
      <c r="C255" s="3"/>
      <c r="D255" s="9"/>
      <c r="E255" s="9"/>
      <c r="F255" s="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5">
      <c r="A256" s="3"/>
      <c r="B256" s="9"/>
      <c r="C256" s="3"/>
      <c r="D256" s="9"/>
      <c r="E256" s="9"/>
      <c r="F256" s="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5">
      <c r="A257" s="3"/>
      <c r="B257" s="9"/>
      <c r="C257" s="3"/>
      <c r="D257" s="9"/>
      <c r="E257" s="9"/>
      <c r="F257" s="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5">
      <c r="A258" s="3"/>
      <c r="B258" s="9"/>
      <c r="C258" s="3"/>
      <c r="D258" s="9"/>
      <c r="E258" s="9"/>
      <c r="F258" s="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5">
      <c r="A259" s="3"/>
      <c r="B259" s="9"/>
      <c r="C259" s="3"/>
      <c r="D259" s="9"/>
      <c r="E259" s="9"/>
      <c r="F259" s="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5">
      <c r="A260" s="3"/>
      <c r="B260" s="9"/>
      <c r="C260" s="3"/>
      <c r="D260" s="9"/>
      <c r="E260" s="9"/>
      <c r="F260" s="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5">
      <c r="A261" s="3"/>
      <c r="B261" s="9"/>
      <c r="C261" s="3"/>
      <c r="D261" s="9"/>
      <c r="E261" s="9"/>
      <c r="F261" s="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5">
      <c r="A262" s="3"/>
      <c r="B262" s="9"/>
      <c r="C262" s="3"/>
      <c r="D262" s="9"/>
      <c r="E262" s="9"/>
      <c r="F262" s="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5">
      <c r="A263" s="3"/>
      <c r="B263" s="9"/>
      <c r="C263" s="3"/>
      <c r="D263" s="9"/>
      <c r="E263" s="9"/>
      <c r="F263" s="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5">
      <c r="A264" s="3"/>
      <c r="B264" s="9"/>
      <c r="C264" s="3"/>
      <c r="D264" s="9"/>
      <c r="E264" s="9"/>
      <c r="F264" s="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5">
      <c r="A265" s="3"/>
      <c r="B265" s="9"/>
      <c r="C265" s="3"/>
      <c r="D265" s="9"/>
      <c r="E265" s="9"/>
      <c r="F265" s="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5">
      <c r="A266" s="3"/>
      <c r="B266" s="9"/>
      <c r="C266" s="3"/>
      <c r="D266" s="9"/>
      <c r="E266" s="9"/>
      <c r="F266" s="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5">
      <c r="A267" s="3"/>
      <c r="B267" s="9"/>
      <c r="C267" s="3"/>
      <c r="D267" s="9"/>
      <c r="E267" s="9"/>
      <c r="F267" s="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5">
      <c r="A268" s="3"/>
      <c r="B268" s="9"/>
      <c r="C268" s="3"/>
      <c r="D268" s="9"/>
      <c r="E268" s="9"/>
      <c r="F268" s="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5">
      <c r="A269" s="3"/>
      <c r="B269" s="9"/>
      <c r="C269" s="3"/>
      <c r="D269" s="9"/>
      <c r="E269" s="9"/>
      <c r="F269" s="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5">
      <c r="A270" s="3"/>
      <c r="B270" s="9"/>
      <c r="C270" s="3"/>
      <c r="D270" s="9"/>
      <c r="E270" s="9"/>
      <c r="F270" s="9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5">
      <c r="A271" s="3"/>
      <c r="B271" s="9"/>
      <c r="C271" s="3"/>
      <c r="D271" s="9"/>
      <c r="E271" s="9"/>
      <c r="F271" s="9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5">
      <c r="A272" s="3"/>
      <c r="B272" s="9"/>
      <c r="C272" s="3"/>
      <c r="D272" s="9"/>
      <c r="E272" s="9"/>
      <c r="F272" s="9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5">
      <c r="A273" s="3"/>
      <c r="B273" s="9"/>
      <c r="C273" s="3"/>
      <c r="D273" s="9"/>
      <c r="E273" s="9"/>
      <c r="F273" s="9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5">
      <c r="A274" s="3"/>
      <c r="B274" s="9"/>
      <c r="C274" s="3"/>
      <c r="D274" s="9"/>
      <c r="E274" s="9"/>
      <c r="F274" s="9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5">
      <c r="A275" s="3"/>
      <c r="B275" s="9"/>
      <c r="C275" s="3"/>
      <c r="D275" s="9"/>
      <c r="E275" s="9"/>
      <c r="F275" s="9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5">
      <c r="A276" s="3"/>
      <c r="B276" s="9"/>
      <c r="C276" s="3"/>
      <c r="D276" s="9"/>
      <c r="E276" s="9"/>
      <c r="F276" s="9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5">
      <c r="A277" s="3"/>
      <c r="B277" s="9"/>
      <c r="C277" s="3"/>
      <c r="D277" s="9"/>
      <c r="E277" s="9"/>
      <c r="F277" s="9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5">
      <c r="A278" s="3"/>
      <c r="B278" s="9"/>
      <c r="C278" s="3"/>
      <c r="D278" s="9"/>
      <c r="E278" s="9"/>
      <c r="F278" s="9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5">
      <c r="A279" s="3"/>
      <c r="B279" s="9"/>
      <c r="C279" s="3"/>
      <c r="D279" s="9"/>
      <c r="E279" s="9"/>
      <c r="F279" s="9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5">
      <c r="A280" s="3"/>
      <c r="B280" s="9"/>
      <c r="C280" s="3"/>
      <c r="D280" s="9"/>
      <c r="E280" s="9"/>
      <c r="F280" s="9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5">
      <c r="A281" s="3"/>
      <c r="B281" s="9"/>
      <c r="C281" s="3"/>
      <c r="D281" s="9"/>
      <c r="E281" s="9"/>
      <c r="F281" s="9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5">
      <c r="A282" s="3"/>
      <c r="B282" s="9"/>
      <c r="C282" s="3"/>
      <c r="D282" s="9"/>
      <c r="E282" s="9"/>
      <c r="F282" s="9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5">
      <c r="A283" s="3"/>
      <c r="B283" s="9"/>
      <c r="C283" s="3"/>
      <c r="D283" s="9"/>
      <c r="E283" s="9"/>
      <c r="F283" s="9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5">
      <c r="A284" s="3"/>
      <c r="B284" s="9"/>
      <c r="C284" s="3"/>
      <c r="D284" s="9"/>
      <c r="E284" s="9"/>
      <c r="F284" s="9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5">
      <c r="A285" s="3"/>
      <c r="B285" s="9"/>
      <c r="C285" s="3"/>
      <c r="D285" s="9"/>
      <c r="E285" s="9"/>
      <c r="F285" s="9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5">
      <c r="A286" s="3"/>
      <c r="B286" s="9"/>
      <c r="C286" s="3"/>
      <c r="D286" s="9"/>
      <c r="E286" s="9"/>
      <c r="F286" s="9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5">
      <c r="A287" s="3"/>
      <c r="B287" s="9"/>
      <c r="C287" s="3"/>
      <c r="D287" s="9"/>
      <c r="E287" s="9"/>
      <c r="F287" s="9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5">
      <c r="A288" s="3"/>
      <c r="B288" s="9"/>
      <c r="C288" s="3"/>
      <c r="D288" s="9"/>
      <c r="E288" s="9"/>
      <c r="F288" s="9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5">
      <c r="A289" s="3"/>
      <c r="B289" s="9"/>
      <c r="C289" s="3"/>
      <c r="D289" s="9"/>
      <c r="E289" s="9"/>
      <c r="F289" s="9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5">
      <c r="A290" s="3"/>
      <c r="B290" s="9"/>
      <c r="C290" s="3"/>
      <c r="D290" s="9"/>
      <c r="E290" s="9"/>
      <c r="F290" s="9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5">
      <c r="A291" s="3"/>
      <c r="B291" s="9"/>
      <c r="C291" s="3"/>
      <c r="D291" s="9"/>
      <c r="E291" s="9"/>
      <c r="F291" s="9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5">
      <c r="A292" s="3"/>
      <c r="B292" s="9"/>
      <c r="C292" s="3"/>
      <c r="D292" s="9"/>
      <c r="E292" s="9"/>
      <c r="F292" s="9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5">
      <c r="A293" s="3"/>
      <c r="B293" s="9"/>
      <c r="C293" s="3"/>
      <c r="D293" s="9"/>
      <c r="E293" s="9"/>
      <c r="F293" s="9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5">
      <c r="A294" s="3"/>
      <c r="B294" s="9"/>
      <c r="C294" s="3"/>
      <c r="D294" s="9"/>
      <c r="E294" s="9"/>
      <c r="F294" s="9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5">
      <c r="A295" s="3"/>
      <c r="B295" s="9"/>
      <c r="C295" s="3"/>
      <c r="D295" s="9"/>
      <c r="E295" s="9"/>
      <c r="F295" s="9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5">
      <c r="A296" s="3"/>
      <c r="B296" s="9"/>
      <c r="C296" s="3"/>
      <c r="D296" s="9"/>
      <c r="E296" s="9"/>
      <c r="F296" s="9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5">
      <c r="A297" s="3"/>
      <c r="B297" s="9"/>
      <c r="C297" s="3"/>
      <c r="D297" s="9"/>
      <c r="E297" s="9"/>
      <c r="F297" s="9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5">
      <c r="A298" s="3"/>
      <c r="B298" s="9"/>
      <c r="C298" s="3"/>
      <c r="D298" s="9"/>
      <c r="E298" s="9"/>
      <c r="F298" s="9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5">
      <c r="A299" s="3"/>
      <c r="B299" s="9"/>
      <c r="C299" s="3"/>
      <c r="D299" s="9"/>
      <c r="E299" s="9"/>
      <c r="F299" s="9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5">
      <c r="A300" s="3"/>
      <c r="B300" s="9"/>
      <c r="C300" s="3"/>
      <c r="D300" s="9"/>
      <c r="E300" s="9"/>
      <c r="F300" s="9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5">
      <c r="A301" s="3"/>
      <c r="B301" s="9"/>
      <c r="C301" s="3"/>
      <c r="D301" s="9"/>
      <c r="E301" s="9"/>
      <c r="F301" s="9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5">
      <c r="A302" s="3"/>
      <c r="B302" s="9"/>
      <c r="C302" s="3"/>
      <c r="D302" s="9"/>
      <c r="E302" s="9"/>
      <c r="F302" s="9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5">
      <c r="A303" s="3"/>
      <c r="B303" s="9"/>
      <c r="C303" s="3"/>
      <c r="D303" s="9"/>
      <c r="E303" s="9"/>
      <c r="F303" s="9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5">
      <c r="A304" s="3"/>
      <c r="B304" s="9"/>
      <c r="C304" s="3"/>
      <c r="D304" s="9"/>
      <c r="E304" s="9"/>
      <c r="F304" s="9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5">
      <c r="A305" s="3"/>
      <c r="B305" s="9"/>
      <c r="C305" s="3"/>
      <c r="D305" s="9"/>
      <c r="E305" s="9"/>
      <c r="F305" s="9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5">
      <c r="A306" s="3"/>
      <c r="B306" s="9"/>
      <c r="C306" s="3"/>
      <c r="D306" s="9"/>
      <c r="E306" s="9"/>
      <c r="F306" s="9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5">
      <c r="A307" s="3"/>
      <c r="B307" s="9"/>
      <c r="C307" s="3"/>
      <c r="D307" s="9"/>
      <c r="E307" s="9"/>
      <c r="F307" s="9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5">
      <c r="A308" s="3"/>
      <c r="B308" s="9"/>
      <c r="C308" s="3"/>
      <c r="D308" s="9"/>
      <c r="E308" s="9"/>
      <c r="F308" s="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5">
      <c r="A309" s="3"/>
      <c r="B309" s="9"/>
      <c r="C309" s="3"/>
      <c r="D309" s="9"/>
      <c r="E309" s="9"/>
      <c r="F309" s="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5">
      <c r="A310" s="3"/>
      <c r="B310" s="9"/>
      <c r="C310" s="3"/>
      <c r="D310" s="9"/>
      <c r="E310" s="9"/>
      <c r="F310" s="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5">
      <c r="A311" s="3"/>
      <c r="B311" s="9"/>
      <c r="C311" s="3"/>
      <c r="D311" s="9"/>
      <c r="E311" s="9"/>
      <c r="F311" s="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5">
      <c r="A312" s="3"/>
      <c r="B312" s="9"/>
      <c r="C312" s="3"/>
      <c r="D312" s="9"/>
      <c r="E312" s="9"/>
      <c r="F312" s="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5">
      <c r="A313" s="3"/>
      <c r="B313" s="9"/>
      <c r="C313" s="3"/>
      <c r="D313" s="9"/>
      <c r="E313" s="9"/>
      <c r="F313" s="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5">
      <c r="A314" s="3"/>
      <c r="B314" s="9"/>
      <c r="C314" s="3"/>
      <c r="D314" s="9"/>
      <c r="E314" s="9"/>
      <c r="F314" s="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5">
      <c r="A315" s="3"/>
      <c r="B315" s="9"/>
      <c r="C315" s="3"/>
      <c r="D315" s="9"/>
      <c r="E315" s="9"/>
      <c r="F315" s="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5">
      <c r="A316" s="3"/>
      <c r="B316" s="9"/>
      <c r="C316" s="3"/>
      <c r="D316" s="9"/>
      <c r="E316" s="9"/>
      <c r="F316" s="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5">
      <c r="A317" s="3"/>
      <c r="B317" s="9"/>
      <c r="C317" s="3"/>
      <c r="D317" s="9"/>
      <c r="E317" s="9"/>
      <c r="F317" s="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5">
      <c r="A318" s="3"/>
      <c r="B318" s="9"/>
      <c r="C318" s="3"/>
      <c r="D318" s="9"/>
      <c r="E318" s="9"/>
      <c r="F318" s="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5">
      <c r="A319" s="3"/>
      <c r="B319" s="9"/>
      <c r="C319" s="3"/>
      <c r="D319" s="9"/>
      <c r="E319" s="9"/>
      <c r="F319" s="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5">
      <c r="A320" s="3"/>
      <c r="B320" s="9"/>
      <c r="C320" s="3"/>
      <c r="D320" s="9"/>
      <c r="E320" s="9"/>
      <c r="F320" s="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5">
      <c r="A321" s="3"/>
      <c r="B321" s="9"/>
      <c r="C321" s="3"/>
      <c r="D321" s="9"/>
      <c r="E321" s="9"/>
      <c r="F321" s="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5">
      <c r="A322" s="3"/>
      <c r="B322" s="9"/>
      <c r="C322" s="3"/>
      <c r="D322" s="9"/>
      <c r="E322" s="9"/>
      <c r="F322" s="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5">
      <c r="A323" s="3"/>
      <c r="B323" s="9"/>
      <c r="C323" s="3"/>
      <c r="D323" s="9"/>
      <c r="E323" s="9"/>
      <c r="F323" s="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5">
      <c r="A324" s="3"/>
      <c r="B324" s="9"/>
      <c r="C324" s="3"/>
      <c r="D324" s="9"/>
      <c r="E324" s="9"/>
      <c r="F324" s="9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5">
      <c r="A325" s="3"/>
      <c r="B325" s="9"/>
      <c r="C325" s="3"/>
      <c r="D325" s="9"/>
      <c r="E325" s="9"/>
      <c r="F325" s="9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5">
      <c r="A326" s="3"/>
      <c r="B326" s="9"/>
      <c r="C326" s="3"/>
      <c r="D326" s="9"/>
      <c r="E326" s="9"/>
      <c r="F326" s="9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5">
      <c r="A327" s="3"/>
      <c r="B327" s="9"/>
      <c r="C327" s="3"/>
      <c r="D327" s="9"/>
      <c r="E327" s="9"/>
      <c r="F327" s="9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5">
      <c r="A328" s="3"/>
      <c r="B328" s="9"/>
      <c r="C328" s="3"/>
      <c r="D328" s="9"/>
      <c r="E328" s="9"/>
      <c r="F328" s="9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5">
      <c r="A329" s="3"/>
      <c r="B329" s="9"/>
      <c r="C329" s="3"/>
      <c r="D329" s="9"/>
      <c r="E329" s="9"/>
      <c r="F329" s="9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5">
      <c r="A330" s="3"/>
      <c r="B330" s="9"/>
      <c r="C330" s="3"/>
      <c r="D330" s="9"/>
      <c r="E330" s="9"/>
      <c r="F330" s="9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5">
      <c r="A331" s="3"/>
      <c r="B331" s="9"/>
      <c r="C331" s="3"/>
      <c r="D331" s="9"/>
      <c r="E331" s="9"/>
      <c r="F331" s="9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5">
      <c r="A332" s="3"/>
      <c r="B332" s="9"/>
      <c r="C332" s="3"/>
      <c r="D332" s="9"/>
      <c r="E332" s="9"/>
      <c r="F332" s="9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5">
      <c r="A333" s="3"/>
      <c r="B333" s="9"/>
      <c r="C333" s="3"/>
      <c r="D333" s="9"/>
      <c r="E333" s="9"/>
      <c r="F333" s="9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5">
      <c r="A334" s="3"/>
      <c r="B334" s="9"/>
      <c r="C334" s="3"/>
      <c r="D334" s="9"/>
      <c r="E334" s="9"/>
      <c r="F334" s="9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5">
      <c r="A335" s="3"/>
      <c r="B335" s="9"/>
      <c r="C335" s="3"/>
      <c r="D335" s="9"/>
      <c r="E335" s="9"/>
      <c r="F335" s="9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5">
      <c r="A336" s="3"/>
      <c r="B336" s="9"/>
      <c r="C336" s="3"/>
      <c r="D336" s="9"/>
      <c r="E336" s="9"/>
      <c r="F336" s="9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5">
      <c r="A337" s="3"/>
      <c r="B337" s="9"/>
      <c r="C337" s="3"/>
      <c r="D337" s="9"/>
      <c r="E337" s="9"/>
      <c r="F337" s="9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5">
      <c r="A338" s="3"/>
      <c r="B338" s="9"/>
      <c r="C338" s="3"/>
      <c r="D338" s="9"/>
      <c r="E338" s="9"/>
      <c r="F338" s="9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5">
      <c r="A339" s="3"/>
      <c r="B339" s="9"/>
      <c r="C339" s="3"/>
      <c r="D339" s="9"/>
      <c r="E339" s="9"/>
      <c r="F339" s="9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5">
      <c r="A340" s="3"/>
      <c r="B340" s="9"/>
      <c r="C340" s="3"/>
      <c r="D340" s="9"/>
      <c r="E340" s="9"/>
      <c r="F340" s="9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5">
      <c r="A341" s="3"/>
      <c r="B341" s="9"/>
      <c r="C341" s="3"/>
      <c r="D341" s="9"/>
      <c r="E341" s="9"/>
      <c r="F341" s="9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5">
      <c r="A342" s="3"/>
      <c r="B342" s="9"/>
      <c r="C342" s="3"/>
      <c r="D342" s="9"/>
      <c r="E342" s="9"/>
      <c r="F342" s="9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5">
      <c r="A343" s="3"/>
      <c r="B343" s="9"/>
      <c r="C343" s="3"/>
      <c r="D343" s="9"/>
      <c r="E343" s="9"/>
      <c r="F343" s="9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5">
      <c r="A344" s="3"/>
      <c r="B344" s="9"/>
      <c r="C344" s="3"/>
      <c r="D344" s="9"/>
      <c r="E344" s="9"/>
      <c r="F344" s="9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5">
      <c r="A345" s="3"/>
      <c r="B345" s="9"/>
      <c r="C345" s="3"/>
      <c r="D345" s="9"/>
      <c r="E345" s="9"/>
      <c r="F345" s="9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5">
      <c r="A346" s="3"/>
      <c r="B346" s="9"/>
      <c r="C346" s="3"/>
      <c r="D346" s="9"/>
      <c r="E346" s="9"/>
      <c r="F346" s="9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5">
      <c r="A347" s="3"/>
      <c r="B347" s="9"/>
      <c r="C347" s="3"/>
      <c r="D347" s="9"/>
      <c r="E347" s="9"/>
      <c r="F347" s="9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5">
      <c r="A348" s="3"/>
      <c r="B348" s="9"/>
      <c r="C348" s="3"/>
      <c r="D348" s="9"/>
      <c r="E348" s="9"/>
      <c r="F348" s="9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5">
      <c r="A349" s="3"/>
      <c r="B349" s="9"/>
      <c r="C349" s="3"/>
      <c r="D349" s="9"/>
      <c r="E349" s="9"/>
      <c r="F349" s="9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5">
      <c r="A350" s="3"/>
      <c r="B350" s="9"/>
      <c r="C350" s="3"/>
      <c r="D350" s="9"/>
      <c r="E350" s="9"/>
      <c r="F350" s="9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5">
      <c r="A351" s="3"/>
      <c r="B351" s="9"/>
      <c r="C351" s="3"/>
      <c r="D351" s="9"/>
      <c r="E351" s="9"/>
      <c r="F351" s="9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5">
      <c r="A352" s="3"/>
      <c r="B352" s="9"/>
      <c r="C352" s="3"/>
      <c r="D352" s="9"/>
      <c r="E352" s="9"/>
      <c r="F352" s="9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5">
      <c r="A353" s="3"/>
      <c r="B353" s="9"/>
      <c r="C353" s="3"/>
      <c r="D353" s="9"/>
      <c r="E353" s="9"/>
      <c r="F353" s="9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5">
      <c r="A354" s="3"/>
      <c r="B354" s="9"/>
      <c r="C354" s="3"/>
      <c r="D354" s="9"/>
      <c r="E354" s="9"/>
      <c r="F354" s="9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5">
      <c r="A355" s="3"/>
      <c r="B355" s="9"/>
      <c r="C355" s="3"/>
      <c r="D355" s="9"/>
      <c r="E355" s="9"/>
      <c r="F355" s="9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5">
      <c r="A356" s="3"/>
      <c r="B356" s="9"/>
      <c r="C356" s="3"/>
      <c r="D356" s="9"/>
      <c r="E356" s="9"/>
      <c r="F356" s="9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5">
      <c r="A357" s="3"/>
      <c r="B357" s="9"/>
      <c r="C357" s="3"/>
      <c r="D357" s="9"/>
      <c r="E357" s="9"/>
      <c r="F357" s="9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5">
      <c r="A358" s="3"/>
      <c r="B358" s="9"/>
      <c r="C358" s="3"/>
      <c r="D358" s="9"/>
      <c r="E358" s="9"/>
      <c r="F358" s="9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5">
      <c r="A359" s="3"/>
      <c r="B359" s="9"/>
      <c r="C359" s="3"/>
      <c r="D359" s="9"/>
      <c r="E359" s="9"/>
      <c r="F359" s="9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5">
      <c r="A360" s="3"/>
      <c r="B360" s="9"/>
      <c r="C360" s="3"/>
      <c r="D360" s="9"/>
      <c r="E360" s="9"/>
      <c r="F360" s="9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5">
      <c r="A361" s="3"/>
      <c r="B361" s="9"/>
      <c r="C361" s="3"/>
      <c r="D361" s="9"/>
      <c r="E361" s="9"/>
      <c r="F361" s="9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5">
      <c r="A362" s="3"/>
      <c r="B362" s="9"/>
      <c r="C362" s="3"/>
      <c r="D362" s="9"/>
      <c r="E362" s="9"/>
      <c r="F362" s="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5">
      <c r="A363" s="3"/>
      <c r="B363" s="9"/>
      <c r="C363" s="3"/>
      <c r="D363" s="9"/>
      <c r="E363" s="9"/>
      <c r="F363" s="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5">
      <c r="A364" s="3"/>
      <c r="B364" s="9"/>
      <c r="C364" s="3"/>
      <c r="D364" s="9"/>
      <c r="E364" s="9"/>
      <c r="F364" s="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5">
      <c r="A365" s="3"/>
      <c r="B365" s="9"/>
      <c r="C365" s="3"/>
      <c r="D365" s="9"/>
      <c r="E365" s="9"/>
      <c r="F365" s="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5">
      <c r="A366" s="3"/>
      <c r="B366" s="9"/>
      <c r="C366" s="3"/>
      <c r="D366" s="9"/>
      <c r="E366" s="9"/>
      <c r="F366" s="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5">
      <c r="A367" s="3"/>
      <c r="B367" s="9"/>
      <c r="C367" s="3"/>
      <c r="D367" s="9"/>
      <c r="E367" s="9"/>
      <c r="F367" s="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5">
      <c r="A368" s="3"/>
      <c r="B368" s="9"/>
      <c r="C368" s="3"/>
      <c r="D368" s="9"/>
      <c r="E368" s="9"/>
      <c r="F368" s="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5">
      <c r="A369" s="3"/>
      <c r="B369" s="9"/>
      <c r="C369" s="3"/>
      <c r="D369" s="9"/>
      <c r="E369" s="9"/>
      <c r="F369" s="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5">
      <c r="A370" s="3"/>
      <c r="B370" s="9"/>
      <c r="C370" s="3"/>
      <c r="D370" s="9"/>
      <c r="E370" s="9"/>
      <c r="F370" s="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5">
      <c r="A371" s="3"/>
      <c r="B371" s="9"/>
      <c r="C371" s="3"/>
      <c r="D371" s="9"/>
      <c r="E371" s="9"/>
      <c r="F371" s="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5">
      <c r="A372" s="3"/>
      <c r="B372" s="9"/>
      <c r="C372" s="3"/>
      <c r="D372" s="9"/>
      <c r="E372" s="9"/>
      <c r="F372" s="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5">
      <c r="A373" s="3"/>
      <c r="B373" s="9"/>
      <c r="C373" s="3"/>
      <c r="D373" s="9"/>
      <c r="E373" s="9"/>
      <c r="F373" s="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5">
      <c r="A374" s="3"/>
      <c r="B374" s="9"/>
      <c r="C374" s="3"/>
      <c r="D374" s="9"/>
      <c r="E374" s="9"/>
      <c r="F374" s="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5">
      <c r="A375" s="3"/>
      <c r="B375" s="9"/>
      <c r="C375" s="3"/>
      <c r="D375" s="9"/>
      <c r="E375" s="9"/>
      <c r="F375" s="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5">
      <c r="A376" s="3"/>
      <c r="B376" s="9"/>
      <c r="C376" s="3"/>
      <c r="D376" s="9"/>
      <c r="E376" s="9"/>
      <c r="F376" s="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5">
      <c r="A377" s="3"/>
      <c r="B377" s="9"/>
      <c r="C377" s="3"/>
      <c r="D377" s="9"/>
      <c r="E377" s="9"/>
      <c r="F377" s="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5">
      <c r="A378" s="3"/>
      <c r="B378" s="9"/>
      <c r="C378" s="3"/>
      <c r="D378" s="9"/>
      <c r="E378" s="9"/>
      <c r="F378" s="9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5">
      <c r="A379" s="3"/>
      <c r="B379" s="9"/>
      <c r="C379" s="3"/>
      <c r="D379" s="9"/>
      <c r="E379" s="9"/>
      <c r="F379" s="9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5">
      <c r="A380" s="3"/>
      <c r="B380" s="9"/>
      <c r="C380" s="3"/>
      <c r="D380" s="9"/>
      <c r="E380" s="9"/>
      <c r="F380" s="9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5">
      <c r="A381" s="3"/>
      <c r="B381" s="9"/>
      <c r="C381" s="3"/>
      <c r="D381" s="9"/>
      <c r="E381" s="9"/>
      <c r="F381" s="9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5">
      <c r="A382" s="3"/>
      <c r="B382" s="9"/>
      <c r="C382" s="3"/>
      <c r="D382" s="9"/>
      <c r="E382" s="9"/>
      <c r="F382" s="9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5">
      <c r="A383" s="3"/>
      <c r="B383" s="9"/>
      <c r="C383" s="3"/>
      <c r="D383" s="9"/>
      <c r="E383" s="9"/>
      <c r="F383" s="9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5">
      <c r="A384" s="3"/>
      <c r="B384" s="9"/>
      <c r="C384" s="3"/>
      <c r="D384" s="9"/>
      <c r="E384" s="9"/>
      <c r="F384" s="9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5">
      <c r="A385" s="3"/>
      <c r="B385" s="9"/>
      <c r="C385" s="3"/>
      <c r="D385" s="9"/>
      <c r="E385" s="9"/>
      <c r="F385" s="9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5">
      <c r="A386" s="3"/>
      <c r="B386" s="9"/>
      <c r="C386" s="3"/>
      <c r="D386" s="9"/>
      <c r="E386" s="9"/>
      <c r="F386" s="9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5">
      <c r="A387" s="3"/>
      <c r="B387" s="9"/>
      <c r="C387" s="3"/>
      <c r="D387" s="9"/>
      <c r="E387" s="9"/>
      <c r="F387" s="9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5">
      <c r="A388" s="3"/>
      <c r="B388" s="9"/>
      <c r="C388" s="3"/>
      <c r="D388" s="9"/>
      <c r="E388" s="9"/>
      <c r="F388" s="9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5">
      <c r="A389" s="3"/>
      <c r="B389" s="9"/>
      <c r="C389" s="3"/>
      <c r="D389" s="9"/>
      <c r="E389" s="9"/>
      <c r="F389" s="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5">
      <c r="A390" s="3"/>
      <c r="B390" s="9"/>
      <c r="C390" s="3"/>
      <c r="D390" s="9"/>
      <c r="E390" s="9"/>
      <c r="F390" s="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5">
      <c r="A391" s="3"/>
      <c r="B391" s="9"/>
      <c r="C391" s="3"/>
      <c r="D391" s="9"/>
      <c r="E391" s="9"/>
      <c r="F391" s="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5">
      <c r="A392" s="3"/>
      <c r="B392" s="9"/>
      <c r="C392" s="3"/>
      <c r="D392" s="9"/>
      <c r="E392" s="9"/>
      <c r="F392" s="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5">
      <c r="A393" s="3"/>
      <c r="B393" s="9"/>
      <c r="C393" s="3"/>
      <c r="D393" s="9"/>
      <c r="E393" s="9"/>
      <c r="F393" s="9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5">
      <c r="A394" s="3"/>
      <c r="B394" s="9"/>
      <c r="C394" s="3"/>
      <c r="D394" s="9"/>
      <c r="E394" s="9"/>
      <c r="F394" s="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5">
      <c r="A395" s="3"/>
      <c r="B395" s="9"/>
      <c r="C395" s="3"/>
      <c r="D395" s="9"/>
      <c r="E395" s="9"/>
      <c r="F395" s="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5">
      <c r="A396" s="3"/>
      <c r="B396" s="9"/>
      <c r="C396" s="3"/>
      <c r="D396" s="9"/>
      <c r="E396" s="9"/>
      <c r="F396" s="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5">
      <c r="A397" s="3"/>
      <c r="B397" s="9"/>
      <c r="C397" s="3"/>
      <c r="D397" s="9"/>
      <c r="E397" s="9"/>
      <c r="F397" s="9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5">
      <c r="A398" s="3"/>
      <c r="B398" s="9"/>
      <c r="C398" s="3"/>
      <c r="D398" s="9"/>
      <c r="E398" s="9"/>
      <c r="F398" s="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5">
      <c r="A399" s="3"/>
      <c r="B399" s="9"/>
      <c r="C399" s="3"/>
      <c r="D399" s="9"/>
      <c r="E399" s="9"/>
      <c r="F399" s="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5">
      <c r="A400" s="3"/>
      <c r="B400" s="9"/>
      <c r="C400" s="3"/>
      <c r="D400" s="9"/>
      <c r="E400" s="9"/>
      <c r="F400" s="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5">
      <c r="A401" s="3"/>
      <c r="B401" s="9"/>
      <c r="C401" s="3"/>
      <c r="D401" s="9"/>
      <c r="E401" s="9"/>
      <c r="F401" s="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5">
      <c r="A402" s="3"/>
      <c r="B402" s="9"/>
      <c r="C402" s="3"/>
      <c r="D402" s="9"/>
      <c r="E402" s="9"/>
      <c r="F402" s="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5">
      <c r="A403" s="3"/>
      <c r="B403" s="9"/>
      <c r="C403" s="3"/>
      <c r="D403" s="9"/>
      <c r="E403" s="9"/>
      <c r="F403" s="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5">
      <c r="A404" s="3"/>
      <c r="B404" s="9"/>
      <c r="C404" s="3"/>
      <c r="D404" s="9"/>
      <c r="E404" s="9"/>
      <c r="F404" s="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5">
      <c r="A405" s="3"/>
      <c r="B405" s="9"/>
      <c r="C405" s="3"/>
      <c r="D405" s="9"/>
      <c r="E405" s="9"/>
      <c r="F405" s="9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5">
      <c r="A406" s="3"/>
      <c r="B406" s="9"/>
      <c r="C406" s="3"/>
      <c r="D406" s="9"/>
      <c r="E406" s="9"/>
      <c r="F406" s="9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5">
      <c r="A407" s="3"/>
      <c r="B407" s="9"/>
      <c r="C407" s="3"/>
      <c r="D407" s="9"/>
      <c r="E407" s="9"/>
      <c r="F407" s="9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5">
      <c r="A408" s="3"/>
      <c r="B408" s="9"/>
      <c r="C408" s="3"/>
      <c r="D408" s="9"/>
      <c r="E408" s="9"/>
      <c r="F408" s="9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5">
      <c r="A409" s="3"/>
      <c r="B409" s="9"/>
      <c r="C409" s="3"/>
      <c r="D409" s="9"/>
      <c r="E409" s="9"/>
      <c r="F409" s="9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5">
      <c r="A410" s="3"/>
      <c r="B410" s="9"/>
      <c r="C410" s="3"/>
      <c r="D410" s="9"/>
      <c r="E410" s="9"/>
      <c r="F410" s="9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5">
      <c r="A411" s="3"/>
      <c r="B411" s="9"/>
      <c r="C411" s="3"/>
      <c r="D411" s="9"/>
      <c r="E411" s="9"/>
      <c r="F411" s="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5">
      <c r="A412" s="3"/>
      <c r="B412" s="9"/>
      <c r="C412" s="3"/>
      <c r="D412" s="9"/>
      <c r="E412" s="9"/>
      <c r="F412" s="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5">
      <c r="A413" s="3"/>
      <c r="B413" s="9"/>
      <c r="C413" s="3"/>
      <c r="D413" s="9"/>
      <c r="E413" s="9"/>
      <c r="F413" s="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5">
      <c r="A414" s="3"/>
      <c r="B414" s="9"/>
      <c r="C414" s="3"/>
      <c r="D414" s="9"/>
      <c r="E414" s="9"/>
      <c r="F414" s="9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5">
      <c r="A415" s="3"/>
      <c r="B415" s="9"/>
      <c r="C415" s="3"/>
      <c r="D415" s="9"/>
      <c r="E415" s="9"/>
      <c r="F415" s="9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5">
      <c r="A416" s="3"/>
      <c r="B416" s="9"/>
      <c r="C416" s="3"/>
      <c r="D416" s="9"/>
      <c r="E416" s="9"/>
      <c r="F416" s="9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5">
      <c r="A417" s="3"/>
      <c r="B417" s="9"/>
      <c r="C417" s="3"/>
      <c r="D417" s="9"/>
      <c r="E417" s="9"/>
      <c r="F417" s="9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5">
      <c r="A418" s="3"/>
      <c r="B418" s="9"/>
      <c r="C418" s="3"/>
      <c r="D418" s="9"/>
      <c r="E418" s="9"/>
      <c r="F418" s="9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5">
      <c r="A419" s="3"/>
      <c r="B419" s="9"/>
      <c r="C419" s="3"/>
      <c r="D419" s="9"/>
      <c r="E419" s="9"/>
      <c r="F419" s="9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5">
      <c r="A420" s="3"/>
      <c r="B420" s="9"/>
      <c r="C420" s="3"/>
      <c r="D420" s="9"/>
      <c r="E420" s="9"/>
      <c r="F420" s="9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5">
      <c r="A421" s="3"/>
      <c r="B421" s="9"/>
      <c r="C421" s="3"/>
      <c r="D421" s="9"/>
      <c r="E421" s="9"/>
      <c r="F421" s="9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5">
      <c r="A422" s="3"/>
      <c r="B422" s="9"/>
      <c r="C422" s="3"/>
      <c r="D422" s="9"/>
      <c r="E422" s="9"/>
      <c r="F422" s="9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5">
      <c r="A423" s="3"/>
      <c r="B423" s="9"/>
      <c r="C423" s="3"/>
      <c r="D423" s="9"/>
      <c r="E423" s="9"/>
      <c r="F423" s="9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5">
      <c r="A424" s="3"/>
      <c r="B424" s="9"/>
      <c r="C424" s="3"/>
      <c r="D424" s="9"/>
      <c r="E424" s="9"/>
      <c r="F424" s="9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5">
      <c r="A425" s="3"/>
      <c r="B425" s="9"/>
      <c r="C425" s="3"/>
      <c r="D425" s="9"/>
      <c r="E425" s="9"/>
      <c r="F425" s="9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5">
      <c r="A426" s="3"/>
      <c r="B426" s="9"/>
      <c r="C426" s="3"/>
      <c r="D426" s="9"/>
      <c r="E426" s="9"/>
      <c r="F426" s="9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5">
      <c r="A427" s="3"/>
      <c r="B427" s="9"/>
      <c r="C427" s="3"/>
      <c r="D427" s="9"/>
      <c r="E427" s="9"/>
      <c r="F427" s="9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5">
      <c r="A428" s="3"/>
      <c r="B428" s="9"/>
      <c r="C428" s="3"/>
      <c r="D428" s="9"/>
      <c r="E428" s="9"/>
      <c r="F428" s="9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5">
      <c r="A429" s="3"/>
      <c r="B429" s="9"/>
      <c r="C429" s="3"/>
      <c r="D429" s="9"/>
      <c r="E429" s="9"/>
      <c r="F429" s="9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5">
      <c r="A430" s="3"/>
      <c r="B430" s="9"/>
      <c r="C430" s="3"/>
      <c r="D430" s="9"/>
      <c r="E430" s="9"/>
      <c r="F430" s="9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5">
      <c r="A431" s="3"/>
      <c r="B431" s="9"/>
      <c r="C431" s="3"/>
      <c r="D431" s="9"/>
      <c r="E431" s="9"/>
      <c r="F431" s="9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5">
      <c r="A432" s="3"/>
      <c r="B432" s="9"/>
      <c r="C432" s="3"/>
      <c r="D432" s="9"/>
      <c r="E432" s="9"/>
      <c r="F432" s="9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5">
      <c r="A433" s="3"/>
      <c r="B433" s="9"/>
      <c r="C433" s="3"/>
      <c r="D433" s="9"/>
      <c r="E433" s="9"/>
      <c r="F433" s="9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5">
      <c r="A434" s="3"/>
      <c r="B434" s="9"/>
      <c r="C434" s="3"/>
      <c r="D434" s="9"/>
      <c r="E434" s="9"/>
      <c r="F434" s="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5">
      <c r="A435" s="3"/>
      <c r="B435" s="9"/>
      <c r="C435" s="3"/>
      <c r="D435" s="9"/>
      <c r="E435" s="9"/>
      <c r="F435" s="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5">
      <c r="A436" s="3"/>
      <c r="B436" s="9"/>
      <c r="C436" s="3"/>
      <c r="D436" s="9"/>
      <c r="E436" s="9"/>
      <c r="F436" s="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5">
      <c r="A437" s="3"/>
      <c r="B437" s="9"/>
      <c r="C437" s="3"/>
      <c r="D437" s="9"/>
      <c r="E437" s="9"/>
      <c r="F437" s="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5">
      <c r="A438" s="3"/>
      <c r="B438" s="9"/>
      <c r="C438" s="3"/>
      <c r="D438" s="9"/>
      <c r="E438" s="9"/>
      <c r="F438" s="9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5">
      <c r="A439" s="3"/>
      <c r="B439" s="9"/>
      <c r="C439" s="3"/>
      <c r="D439" s="9"/>
      <c r="E439" s="9"/>
      <c r="F439" s="9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5">
      <c r="A440" s="3"/>
      <c r="B440" s="9"/>
      <c r="C440" s="3"/>
      <c r="D440" s="9"/>
      <c r="E440" s="9"/>
      <c r="F440" s="9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5">
      <c r="A441" s="3"/>
      <c r="B441" s="9"/>
      <c r="C441" s="3"/>
      <c r="D441" s="9"/>
      <c r="E441" s="9"/>
      <c r="F441" s="9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5">
      <c r="A442" s="3"/>
      <c r="B442" s="9"/>
      <c r="C442" s="3"/>
      <c r="D442" s="9"/>
      <c r="E442" s="9"/>
      <c r="F442" s="9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5">
      <c r="A443" s="3"/>
      <c r="B443" s="9"/>
      <c r="C443" s="3"/>
      <c r="D443" s="9"/>
      <c r="E443" s="9"/>
      <c r="F443" s="9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5">
      <c r="A444" s="3"/>
      <c r="B444" s="9"/>
      <c r="C444" s="3"/>
      <c r="D444" s="9"/>
      <c r="E444" s="9"/>
      <c r="F444" s="9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5">
      <c r="A445" s="3"/>
      <c r="B445" s="9"/>
      <c r="C445" s="3"/>
      <c r="D445" s="9"/>
      <c r="E445" s="9"/>
      <c r="F445" s="9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5">
      <c r="A446" s="3"/>
      <c r="B446" s="9"/>
      <c r="C446" s="3"/>
      <c r="D446" s="9"/>
      <c r="E446" s="9"/>
      <c r="F446" s="9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5">
      <c r="A447" s="3"/>
      <c r="B447" s="9"/>
      <c r="C447" s="3"/>
      <c r="D447" s="9"/>
      <c r="E447" s="9"/>
      <c r="F447" s="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5">
      <c r="A448" s="3"/>
      <c r="B448" s="9"/>
      <c r="C448" s="3"/>
      <c r="D448" s="9"/>
      <c r="E448" s="9"/>
      <c r="F448" s="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5">
      <c r="A449" s="3"/>
      <c r="B449" s="9"/>
      <c r="C449" s="3"/>
      <c r="D449" s="9"/>
      <c r="E449" s="9"/>
      <c r="F449" s="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5">
      <c r="A450" s="3"/>
      <c r="B450" s="9"/>
      <c r="C450" s="3"/>
      <c r="D450" s="9"/>
      <c r="E450" s="9"/>
      <c r="F450" s="9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5">
      <c r="A451" s="3"/>
      <c r="B451" s="9"/>
      <c r="C451" s="3"/>
      <c r="D451" s="9"/>
      <c r="E451" s="9"/>
      <c r="F451" s="9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5">
      <c r="A452" s="3"/>
      <c r="B452" s="9"/>
      <c r="C452" s="3"/>
      <c r="D452" s="9"/>
      <c r="E452" s="9"/>
      <c r="F452" s="9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5">
      <c r="A453" s="3"/>
      <c r="B453" s="9"/>
      <c r="C453" s="3"/>
      <c r="D453" s="9"/>
      <c r="E453" s="9"/>
      <c r="F453" s="9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5">
      <c r="A454" s="3"/>
      <c r="B454" s="9"/>
      <c r="C454" s="3"/>
      <c r="D454" s="9"/>
      <c r="E454" s="9"/>
      <c r="F454" s="9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5">
      <c r="A455" s="3"/>
      <c r="B455" s="9"/>
      <c r="C455" s="3"/>
      <c r="D455" s="9"/>
      <c r="E455" s="9"/>
      <c r="F455" s="9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5">
      <c r="A456" s="3"/>
      <c r="B456" s="9"/>
      <c r="C456" s="3"/>
      <c r="D456" s="9"/>
      <c r="E456" s="9"/>
      <c r="F456" s="9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5">
      <c r="A457" s="3"/>
      <c r="B457" s="9"/>
      <c r="C457" s="3"/>
      <c r="D457" s="9"/>
      <c r="E457" s="9"/>
      <c r="F457" s="9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5">
      <c r="A458" s="3"/>
      <c r="B458" s="9"/>
      <c r="C458" s="3"/>
      <c r="D458" s="9"/>
      <c r="E458" s="9"/>
      <c r="F458" s="9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5">
      <c r="A459" s="3"/>
      <c r="B459" s="9"/>
      <c r="C459" s="3"/>
      <c r="D459" s="9"/>
      <c r="E459" s="9"/>
      <c r="F459" s="9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5">
      <c r="A460" s="3"/>
      <c r="B460" s="9"/>
      <c r="C460" s="3"/>
      <c r="D460" s="9"/>
      <c r="E460" s="9"/>
      <c r="F460" s="9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5">
      <c r="A461" s="3"/>
      <c r="B461" s="9"/>
      <c r="C461" s="3"/>
      <c r="D461" s="9"/>
      <c r="E461" s="9"/>
      <c r="F461" s="9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5">
      <c r="A462" s="3"/>
      <c r="B462" s="9"/>
      <c r="C462" s="3"/>
      <c r="D462" s="9"/>
      <c r="E462" s="9"/>
      <c r="F462" s="9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5">
      <c r="A463" s="3"/>
      <c r="B463" s="9"/>
      <c r="C463" s="3"/>
      <c r="D463" s="9"/>
      <c r="E463" s="9"/>
      <c r="F463" s="9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5">
      <c r="A464" s="3"/>
      <c r="B464" s="9"/>
      <c r="C464" s="3"/>
      <c r="D464" s="9"/>
      <c r="E464" s="9"/>
      <c r="F464" s="9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5">
      <c r="A465" s="3"/>
      <c r="B465" s="9"/>
      <c r="C465" s="3"/>
      <c r="D465" s="9"/>
      <c r="E465" s="9"/>
      <c r="F465" s="9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5">
      <c r="A466" s="3"/>
      <c r="B466" s="9"/>
      <c r="C466" s="3"/>
      <c r="D466" s="9"/>
      <c r="E466" s="9"/>
      <c r="F466" s="9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5">
      <c r="A467" s="3"/>
      <c r="B467" s="9"/>
      <c r="C467" s="3"/>
      <c r="D467" s="9"/>
      <c r="E467" s="9"/>
      <c r="F467" s="9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5">
      <c r="A468" s="3"/>
      <c r="B468" s="9"/>
      <c r="C468" s="3"/>
      <c r="D468" s="9"/>
      <c r="E468" s="9"/>
      <c r="F468" s="9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5">
      <c r="A469" s="3"/>
      <c r="B469" s="9"/>
      <c r="C469" s="3"/>
      <c r="D469" s="9"/>
      <c r="E469" s="9"/>
      <c r="F469" s="9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5">
      <c r="A470" s="3"/>
      <c r="B470" s="9"/>
      <c r="C470" s="3"/>
      <c r="D470" s="9"/>
      <c r="E470" s="9"/>
      <c r="F470" s="9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5">
      <c r="A471" s="3"/>
      <c r="B471" s="9"/>
      <c r="C471" s="3"/>
      <c r="D471" s="9"/>
      <c r="E471" s="9"/>
      <c r="F471" s="9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5">
      <c r="A472" s="3"/>
      <c r="B472" s="9"/>
      <c r="C472" s="3"/>
      <c r="D472" s="9"/>
      <c r="E472" s="9"/>
      <c r="F472" s="9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5">
      <c r="A473" s="3"/>
      <c r="B473" s="9"/>
      <c r="C473" s="3"/>
      <c r="D473" s="9"/>
      <c r="E473" s="9"/>
      <c r="F473" s="9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5">
      <c r="A474" s="3"/>
      <c r="B474" s="9"/>
      <c r="C474" s="3"/>
      <c r="D474" s="9"/>
      <c r="E474" s="9"/>
      <c r="F474" s="9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5">
      <c r="A475" s="3"/>
      <c r="B475" s="9"/>
      <c r="C475" s="3"/>
      <c r="D475" s="9"/>
      <c r="E475" s="9"/>
      <c r="F475" s="9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5">
      <c r="A476" s="3"/>
      <c r="B476" s="9"/>
      <c r="C476" s="3"/>
      <c r="D476" s="9"/>
      <c r="E476" s="9"/>
      <c r="F476" s="9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5">
      <c r="A477" s="3"/>
      <c r="B477" s="9"/>
      <c r="C477" s="3"/>
      <c r="D477" s="9"/>
      <c r="E477" s="9"/>
      <c r="F477" s="9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5">
      <c r="A478" s="3"/>
      <c r="B478" s="9"/>
      <c r="C478" s="3"/>
      <c r="D478" s="9"/>
      <c r="E478" s="9"/>
      <c r="F478" s="9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5">
      <c r="A479" s="3"/>
      <c r="B479" s="9"/>
      <c r="C479" s="3"/>
      <c r="D479" s="9"/>
      <c r="E479" s="9"/>
      <c r="F479" s="9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5">
      <c r="A480" s="3"/>
      <c r="B480" s="9"/>
      <c r="C480" s="3"/>
      <c r="D480" s="9"/>
      <c r="E480" s="9"/>
      <c r="F480" s="9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5">
      <c r="A481" s="3"/>
      <c r="B481" s="9"/>
      <c r="C481" s="3"/>
      <c r="D481" s="9"/>
      <c r="E481" s="9"/>
      <c r="F481" s="9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5">
      <c r="A482" s="3"/>
      <c r="B482" s="9"/>
      <c r="C482" s="3"/>
      <c r="D482" s="9"/>
      <c r="E482" s="9"/>
      <c r="F482" s="9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5">
      <c r="A483" s="3"/>
      <c r="B483" s="9"/>
      <c r="C483" s="3"/>
      <c r="D483" s="9"/>
      <c r="E483" s="9"/>
      <c r="F483" s="9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5">
      <c r="A484" s="3"/>
      <c r="B484" s="9"/>
      <c r="C484" s="3"/>
      <c r="D484" s="9"/>
      <c r="E484" s="9"/>
      <c r="F484" s="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5">
      <c r="A485" s="3"/>
      <c r="B485" s="9"/>
      <c r="C485" s="3"/>
      <c r="D485" s="9"/>
      <c r="E485" s="9"/>
      <c r="F485" s="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5">
      <c r="A486" s="3"/>
      <c r="B486" s="9"/>
      <c r="C486" s="3"/>
      <c r="D486" s="9"/>
      <c r="E486" s="9"/>
      <c r="F486" s="9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5">
      <c r="A487" s="3"/>
      <c r="B487" s="9"/>
      <c r="C487" s="3"/>
      <c r="D487" s="9"/>
      <c r="E487" s="9"/>
      <c r="F487" s="9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5">
      <c r="A488" s="3"/>
      <c r="B488" s="9"/>
      <c r="C488" s="3"/>
      <c r="D488" s="9"/>
      <c r="E488" s="9"/>
      <c r="F488" s="9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5">
      <c r="A489" s="3"/>
      <c r="B489" s="9"/>
      <c r="C489" s="3"/>
      <c r="D489" s="9"/>
      <c r="E489" s="9"/>
      <c r="F489" s="9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5">
      <c r="A490" s="3"/>
      <c r="B490" s="9"/>
      <c r="C490" s="3"/>
      <c r="D490" s="9"/>
      <c r="E490" s="9"/>
      <c r="F490" s="9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5">
      <c r="A491" s="3"/>
      <c r="B491" s="9"/>
      <c r="C491" s="3"/>
      <c r="D491" s="9"/>
      <c r="E491" s="9"/>
      <c r="F491" s="9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5">
      <c r="A492" s="3"/>
      <c r="B492" s="9"/>
      <c r="C492" s="3"/>
      <c r="D492" s="9"/>
      <c r="E492" s="9"/>
      <c r="F492" s="9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5">
      <c r="A493" s="3"/>
      <c r="B493" s="9"/>
      <c r="C493" s="3"/>
      <c r="D493" s="9"/>
      <c r="E493" s="9"/>
      <c r="F493" s="9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5">
      <c r="A494" s="3"/>
      <c r="B494" s="9"/>
      <c r="C494" s="3"/>
      <c r="D494" s="9"/>
      <c r="E494" s="9"/>
      <c r="F494" s="9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5">
      <c r="A495" s="3"/>
      <c r="B495" s="9"/>
      <c r="C495" s="3"/>
      <c r="D495" s="9"/>
      <c r="E495" s="9"/>
      <c r="F495" s="9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5">
      <c r="A496" s="3"/>
      <c r="B496" s="9"/>
      <c r="C496" s="3"/>
      <c r="D496" s="9"/>
      <c r="E496" s="9"/>
      <c r="F496" s="9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5">
      <c r="A497" s="3"/>
      <c r="B497" s="9"/>
      <c r="C497" s="3"/>
      <c r="D497" s="9"/>
      <c r="E497" s="9"/>
      <c r="F497" s="9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5">
      <c r="A498" s="3"/>
      <c r="B498" s="9"/>
      <c r="C498" s="3"/>
      <c r="D498" s="9"/>
      <c r="E498" s="9"/>
      <c r="F498" s="9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5">
      <c r="A499" s="3"/>
      <c r="B499" s="9"/>
      <c r="C499" s="3"/>
      <c r="D499" s="9"/>
      <c r="E499" s="9"/>
      <c r="F499" s="9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5">
      <c r="A500" s="3"/>
      <c r="B500" s="9"/>
      <c r="C500" s="3"/>
      <c r="D500" s="9"/>
      <c r="E500" s="9"/>
      <c r="F500" s="9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5">
      <c r="A501" s="3"/>
      <c r="B501" s="9"/>
      <c r="C501" s="3"/>
      <c r="D501" s="9"/>
      <c r="E501" s="9"/>
      <c r="F501" s="9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5">
      <c r="A502" s="3"/>
      <c r="B502" s="9"/>
      <c r="C502" s="3"/>
      <c r="D502" s="9"/>
      <c r="E502" s="9"/>
      <c r="F502" s="9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5">
      <c r="A503" s="3"/>
      <c r="B503" s="9"/>
      <c r="C503" s="3"/>
      <c r="D503" s="9"/>
      <c r="E503" s="9"/>
      <c r="F503" s="9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5">
      <c r="A504" s="3"/>
      <c r="B504" s="9"/>
      <c r="C504" s="3"/>
      <c r="D504" s="9"/>
      <c r="E504" s="9"/>
      <c r="F504" s="9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5">
      <c r="A505" s="3"/>
      <c r="B505" s="9"/>
      <c r="C505" s="3"/>
      <c r="D505" s="9"/>
      <c r="E505" s="9"/>
      <c r="F505" s="9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5">
      <c r="A506" s="3"/>
      <c r="B506" s="9"/>
      <c r="C506" s="3"/>
      <c r="D506" s="9"/>
      <c r="E506" s="9"/>
      <c r="F506" s="9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5">
      <c r="A507" s="3"/>
      <c r="B507" s="9"/>
      <c r="C507" s="3"/>
      <c r="D507" s="9"/>
      <c r="E507" s="9"/>
      <c r="F507" s="9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5">
      <c r="A508" s="3"/>
      <c r="B508" s="9"/>
      <c r="C508" s="3"/>
      <c r="D508" s="9"/>
      <c r="E508" s="9"/>
      <c r="F508" s="9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5">
      <c r="A509" s="3"/>
      <c r="B509" s="9"/>
      <c r="C509" s="3"/>
      <c r="D509" s="9"/>
      <c r="E509" s="9"/>
      <c r="F509" s="9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5">
      <c r="A510" s="3"/>
      <c r="B510" s="9"/>
      <c r="C510" s="3"/>
      <c r="D510" s="9"/>
      <c r="E510" s="9"/>
      <c r="F510" s="9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5">
      <c r="A511" s="3"/>
      <c r="B511" s="9"/>
      <c r="C511" s="3"/>
      <c r="D511" s="9"/>
      <c r="E511" s="9"/>
      <c r="F511" s="9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5">
      <c r="A512" s="3"/>
      <c r="B512" s="9"/>
      <c r="C512" s="3"/>
      <c r="D512" s="9"/>
      <c r="E512" s="9"/>
      <c r="F512" s="9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5">
      <c r="A513" s="3"/>
      <c r="B513" s="9"/>
      <c r="C513" s="3"/>
      <c r="D513" s="9"/>
      <c r="E513" s="9"/>
      <c r="F513" s="9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5">
      <c r="A514" s="3"/>
      <c r="B514" s="9"/>
      <c r="C514" s="3"/>
      <c r="D514" s="9"/>
      <c r="E514" s="9"/>
      <c r="F514" s="9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5">
      <c r="A515" s="3"/>
      <c r="B515" s="9"/>
      <c r="C515" s="3"/>
      <c r="D515" s="9"/>
      <c r="E515" s="9"/>
      <c r="F515" s="9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5">
      <c r="A516" s="3"/>
      <c r="B516" s="9"/>
      <c r="C516" s="3"/>
      <c r="D516" s="9"/>
      <c r="E516" s="9"/>
      <c r="F516" s="9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5">
      <c r="A517" s="3"/>
      <c r="B517" s="9"/>
      <c r="C517" s="3"/>
      <c r="D517" s="9"/>
      <c r="E517" s="9"/>
      <c r="F517" s="9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5">
      <c r="A518" s="3"/>
      <c r="B518" s="9"/>
      <c r="C518" s="3"/>
      <c r="D518" s="9"/>
      <c r="E518" s="9"/>
      <c r="F518" s="9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5">
      <c r="A519" s="3"/>
      <c r="B519" s="9"/>
      <c r="C519" s="3"/>
      <c r="D519" s="9"/>
      <c r="E519" s="9"/>
      <c r="F519" s="9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5">
      <c r="A520" s="3"/>
      <c r="B520" s="9"/>
      <c r="C520" s="3"/>
      <c r="D520" s="9"/>
      <c r="E520" s="9"/>
      <c r="F520" s="9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5">
      <c r="A521" s="3"/>
      <c r="B521" s="9"/>
      <c r="C521" s="3"/>
      <c r="D521" s="9"/>
      <c r="E521" s="9"/>
      <c r="F521" s="9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5">
      <c r="A522" s="3"/>
      <c r="B522" s="9"/>
      <c r="C522" s="3"/>
      <c r="D522" s="9"/>
      <c r="E522" s="9"/>
      <c r="F522" s="9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5">
      <c r="A523" s="3"/>
      <c r="B523" s="9"/>
      <c r="C523" s="3"/>
      <c r="D523" s="9"/>
      <c r="E523" s="9"/>
      <c r="F523" s="9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5">
      <c r="A524" s="3"/>
      <c r="B524" s="9"/>
      <c r="C524" s="3"/>
      <c r="D524" s="9"/>
      <c r="E524" s="9"/>
      <c r="F524" s="9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5">
      <c r="A525" s="3"/>
      <c r="B525" s="9"/>
      <c r="C525" s="3"/>
      <c r="D525" s="9"/>
      <c r="E525" s="9"/>
      <c r="F525" s="9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5">
      <c r="A526" s="3"/>
      <c r="B526" s="9"/>
      <c r="C526" s="3"/>
      <c r="D526" s="9"/>
      <c r="E526" s="9"/>
      <c r="F526" s="9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5">
      <c r="A527" s="3"/>
      <c r="B527" s="9"/>
      <c r="C527" s="3"/>
      <c r="D527" s="9"/>
      <c r="E527" s="9"/>
      <c r="F527" s="9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5">
      <c r="A528" s="3"/>
      <c r="B528" s="9"/>
      <c r="C528" s="3"/>
      <c r="D528" s="9"/>
      <c r="E528" s="9"/>
      <c r="F528" s="9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5">
      <c r="A529" s="3"/>
      <c r="B529" s="9"/>
      <c r="C529" s="3"/>
      <c r="D529" s="9"/>
      <c r="E529" s="9"/>
      <c r="F529" s="9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5">
      <c r="A530" s="3"/>
      <c r="B530" s="9"/>
      <c r="C530" s="3"/>
      <c r="D530" s="9"/>
      <c r="E530" s="9"/>
      <c r="F530" s="9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5">
      <c r="A531" s="3"/>
      <c r="B531" s="9"/>
      <c r="C531" s="3"/>
      <c r="D531" s="9"/>
      <c r="E531" s="9"/>
      <c r="F531" s="9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5">
      <c r="A532" s="3"/>
      <c r="B532" s="9"/>
      <c r="C532" s="3"/>
      <c r="D532" s="9"/>
      <c r="E532" s="9"/>
      <c r="F532" s="9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5">
      <c r="A533" s="3"/>
      <c r="B533" s="9"/>
      <c r="C533" s="3"/>
      <c r="D533" s="9"/>
      <c r="E533" s="9"/>
      <c r="F533" s="9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5">
      <c r="A534" s="3"/>
      <c r="B534" s="9"/>
      <c r="C534" s="3"/>
      <c r="D534" s="9"/>
      <c r="E534" s="9"/>
      <c r="F534" s="9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5">
      <c r="A535" s="3"/>
      <c r="B535" s="9"/>
      <c r="C535" s="3"/>
      <c r="D535" s="9"/>
      <c r="E535" s="9"/>
      <c r="F535" s="9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5">
      <c r="A536" s="3"/>
      <c r="B536" s="9"/>
      <c r="C536" s="3"/>
      <c r="D536" s="9"/>
      <c r="E536" s="9"/>
      <c r="F536" s="9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5">
      <c r="A537" s="3"/>
      <c r="B537" s="9"/>
      <c r="C537" s="3"/>
      <c r="D537" s="9"/>
      <c r="E537" s="9"/>
      <c r="F537" s="9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5">
      <c r="A538" s="3"/>
      <c r="B538" s="9"/>
      <c r="C538" s="3"/>
      <c r="D538" s="9"/>
      <c r="E538" s="9"/>
      <c r="F538" s="9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5">
      <c r="A539" s="3"/>
      <c r="B539" s="9"/>
      <c r="C539" s="3"/>
      <c r="D539" s="9"/>
      <c r="E539" s="9"/>
      <c r="F539" s="9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5">
      <c r="A540" s="3"/>
      <c r="B540" s="9"/>
      <c r="C540" s="3"/>
      <c r="D540" s="9"/>
      <c r="E540" s="9"/>
      <c r="F540" s="9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5">
      <c r="A541" s="3"/>
      <c r="B541" s="9"/>
      <c r="C541" s="3"/>
      <c r="D541" s="9"/>
      <c r="E541" s="9"/>
      <c r="F541" s="9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5">
      <c r="A542" s="3"/>
      <c r="B542" s="9"/>
      <c r="C542" s="3"/>
      <c r="D542" s="9"/>
      <c r="E542" s="9"/>
      <c r="F542" s="9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5">
      <c r="A543" s="3"/>
      <c r="B543" s="9"/>
      <c r="C543" s="3"/>
      <c r="D543" s="9"/>
      <c r="E543" s="9"/>
      <c r="F543" s="9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5">
      <c r="A544" s="3"/>
      <c r="B544" s="9"/>
      <c r="C544" s="3"/>
      <c r="D544" s="9"/>
      <c r="E544" s="9"/>
      <c r="F544" s="9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5">
      <c r="A545" s="3"/>
      <c r="B545" s="9"/>
      <c r="C545" s="3"/>
      <c r="D545" s="9"/>
      <c r="E545" s="9"/>
      <c r="F545" s="9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5">
      <c r="A546" s="3"/>
      <c r="B546" s="9"/>
      <c r="C546" s="3"/>
      <c r="D546" s="9"/>
      <c r="E546" s="9"/>
      <c r="F546" s="9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5">
      <c r="A547" s="3"/>
      <c r="B547" s="9"/>
      <c r="C547" s="3"/>
      <c r="D547" s="9"/>
      <c r="E547" s="9"/>
      <c r="F547" s="9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5">
      <c r="A548" s="3"/>
      <c r="B548" s="9"/>
      <c r="C548" s="3"/>
      <c r="D548" s="9"/>
      <c r="E548" s="9"/>
      <c r="F548" s="9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5">
      <c r="A549" s="3"/>
      <c r="B549" s="9"/>
      <c r="C549" s="3"/>
      <c r="D549" s="9"/>
      <c r="E549" s="9"/>
      <c r="F549" s="9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5">
      <c r="A550" s="3"/>
      <c r="B550" s="9"/>
      <c r="C550" s="3"/>
      <c r="D550" s="9"/>
      <c r="E550" s="9"/>
      <c r="F550" s="9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5">
      <c r="A551" s="3"/>
      <c r="B551" s="9"/>
      <c r="C551" s="3"/>
      <c r="D551" s="9"/>
      <c r="E551" s="9"/>
      <c r="F551" s="9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5">
      <c r="A552" s="3"/>
      <c r="B552" s="9"/>
      <c r="C552" s="3"/>
      <c r="D552" s="9"/>
      <c r="E552" s="9"/>
      <c r="F552" s="9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5">
      <c r="A553" s="3"/>
      <c r="B553" s="9"/>
      <c r="C553" s="3"/>
      <c r="D553" s="9"/>
      <c r="E553" s="9"/>
      <c r="F553" s="9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5">
      <c r="A554" s="3"/>
      <c r="B554" s="9"/>
      <c r="C554" s="3"/>
      <c r="D554" s="9"/>
      <c r="E554" s="9"/>
      <c r="F554" s="9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5">
      <c r="A555" s="3"/>
      <c r="B555" s="9"/>
      <c r="C555" s="3"/>
      <c r="D555" s="9"/>
      <c r="E555" s="9"/>
      <c r="F555" s="9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5">
      <c r="A556" s="3"/>
      <c r="B556" s="9"/>
      <c r="C556" s="3"/>
      <c r="D556" s="9"/>
      <c r="E556" s="9"/>
      <c r="F556" s="9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5">
      <c r="A557" s="3"/>
      <c r="B557" s="9"/>
      <c r="C557" s="3"/>
      <c r="D557" s="9"/>
      <c r="E557" s="9"/>
      <c r="F557" s="9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5">
      <c r="A558" s="3"/>
      <c r="B558" s="9"/>
      <c r="C558" s="3"/>
      <c r="D558" s="9"/>
      <c r="E558" s="9"/>
      <c r="F558" s="9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5">
      <c r="A559" s="3"/>
      <c r="B559" s="9"/>
      <c r="C559" s="3"/>
      <c r="D559" s="9"/>
      <c r="E559" s="9"/>
      <c r="F559" s="9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5">
      <c r="A560" s="3"/>
      <c r="B560" s="9"/>
      <c r="C560" s="3"/>
      <c r="D560" s="9"/>
      <c r="E560" s="9"/>
      <c r="F560" s="9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5">
      <c r="A561" s="3"/>
      <c r="B561" s="9"/>
      <c r="C561" s="3"/>
      <c r="D561" s="9"/>
      <c r="E561" s="9"/>
      <c r="F561" s="9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5">
      <c r="A562" s="3"/>
      <c r="B562" s="9"/>
      <c r="C562" s="3"/>
      <c r="D562" s="9"/>
      <c r="E562" s="9"/>
      <c r="F562" s="9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5">
      <c r="A563" s="3"/>
      <c r="B563" s="9"/>
      <c r="C563" s="3"/>
      <c r="D563" s="9"/>
      <c r="E563" s="9"/>
      <c r="F563" s="9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5">
      <c r="A564" s="3"/>
      <c r="B564" s="9"/>
      <c r="C564" s="3"/>
      <c r="D564" s="9"/>
      <c r="E564" s="9"/>
      <c r="F564" s="9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5">
      <c r="A565" s="3"/>
      <c r="B565" s="9"/>
      <c r="C565" s="3"/>
      <c r="D565" s="9"/>
      <c r="E565" s="9"/>
      <c r="F565" s="9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5">
      <c r="A566" s="3"/>
      <c r="B566" s="9"/>
      <c r="C566" s="3"/>
      <c r="D566" s="9"/>
      <c r="E566" s="9"/>
      <c r="F566" s="9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5">
      <c r="A567" s="3"/>
      <c r="B567" s="9"/>
      <c r="C567" s="3"/>
      <c r="D567" s="9"/>
      <c r="E567" s="9"/>
      <c r="F567" s="9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5">
      <c r="A568" s="3"/>
      <c r="B568" s="9"/>
      <c r="C568" s="3"/>
      <c r="D568" s="9"/>
      <c r="E568" s="9"/>
      <c r="F568" s="9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5">
      <c r="A569" s="3"/>
      <c r="B569" s="9"/>
      <c r="C569" s="3"/>
      <c r="D569" s="9"/>
      <c r="E569" s="9"/>
      <c r="F569" s="9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5">
      <c r="A570" s="3"/>
      <c r="B570" s="9"/>
      <c r="C570" s="3"/>
      <c r="D570" s="9"/>
      <c r="E570" s="9"/>
      <c r="F570" s="9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5">
      <c r="A571" s="3"/>
      <c r="B571" s="9"/>
      <c r="C571" s="3"/>
      <c r="D571" s="9"/>
      <c r="E571" s="9"/>
      <c r="F571" s="9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5">
      <c r="A572" s="3"/>
      <c r="B572" s="9"/>
      <c r="C572" s="3"/>
      <c r="D572" s="9"/>
      <c r="E572" s="9"/>
      <c r="F572" s="9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5">
      <c r="A573" s="3"/>
      <c r="B573" s="9"/>
      <c r="C573" s="3"/>
      <c r="D573" s="9"/>
      <c r="E573" s="9"/>
      <c r="F573" s="9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5">
      <c r="A574" s="3"/>
      <c r="B574" s="9"/>
      <c r="C574" s="3"/>
      <c r="D574" s="9"/>
      <c r="E574" s="9"/>
      <c r="F574" s="9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5">
      <c r="A575" s="3"/>
      <c r="B575" s="9"/>
      <c r="C575" s="3"/>
      <c r="D575" s="9"/>
      <c r="E575" s="9"/>
      <c r="F575" s="9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5">
      <c r="A576" s="3"/>
      <c r="B576" s="9"/>
      <c r="C576" s="3"/>
      <c r="D576" s="9"/>
      <c r="E576" s="9"/>
      <c r="F576" s="9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5">
      <c r="A577" s="3"/>
      <c r="B577" s="9"/>
      <c r="C577" s="3"/>
      <c r="D577" s="9"/>
      <c r="E577" s="9"/>
      <c r="F577" s="9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5">
      <c r="A578" s="3"/>
      <c r="B578" s="9"/>
      <c r="C578" s="3"/>
      <c r="D578" s="9"/>
      <c r="E578" s="9"/>
      <c r="F578" s="9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5">
      <c r="A579" s="3"/>
      <c r="B579" s="9"/>
      <c r="C579" s="3"/>
      <c r="D579" s="9"/>
      <c r="E579" s="9"/>
      <c r="F579" s="9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5">
      <c r="A580" s="3"/>
      <c r="B580" s="9"/>
      <c r="C580" s="3"/>
      <c r="D580" s="9"/>
      <c r="E580" s="9"/>
      <c r="F580" s="9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5">
      <c r="A581" s="3"/>
      <c r="B581" s="9"/>
      <c r="C581" s="3"/>
      <c r="D581" s="9"/>
      <c r="E581" s="9"/>
      <c r="F581" s="9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5">
      <c r="A582" s="3"/>
      <c r="B582" s="9"/>
      <c r="C582" s="3"/>
      <c r="D582" s="9"/>
      <c r="E582" s="9"/>
      <c r="F582" s="9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5">
      <c r="A583" s="3"/>
      <c r="B583" s="9"/>
      <c r="C583" s="3"/>
      <c r="D583" s="9"/>
      <c r="E583" s="9"/>
      <c r="F583" s="9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5">
      <c r="A584" s="3"/>
      <c r="B584" s="9"/>
      <c r="C584" s="3"/>
      <c r="D584" s="9"/>
      <c r="E584" s="9"/>
      <c r="F584" s="9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5">
      <c r="A585" s="3"/>
      <c r="B585" s="9"/>
      <c r="C585" s="3"/>
      <c r="D585" s="9"/>
      <c r="E585" s="9"/>
      <c r="F585" s="9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5">
      <c r="A586" s="3"/>
      <c r="B586" s="9"/>
      <c r="C586" s="3"/>
      <c r="D586" s="9"/>
      <c r="E586" s="9"/>
      <c r="F586" s="9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5">
      <c r="A587" s="3"/>
      <c r="B587" s="9"/>
      <c r="C587" s="3"/>
      <c r="D587" s="9"/>
      <c r="E587" s="9"/>
      <c r="F587" s="9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5">
      <c r="A588" s="3"/>
      <c r="B588" s="9"/>
      <c r="C588" s="3"/>
      <c r="D588" s="9"/>
      <c r="E588" s="9"/>
      <c r="F588" s="9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5">
      <c r="A589" s="3"/>
      <c r="B589" s="9"/>
      <c r="C589" s="3"/>
      <c r="D589" s="9"/>
      <c r="E589" s="9"/>
      <c r="F589" s="9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5">
      <c r="A590" s="3"/>
      <c r="B590" s="9"/>
      <c r="C590" s="3"/>
      <c r="D590" s="9"/>
      <c r="E590" s="9"/>
      <c r="F590" s="9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5">
      <c r="A591" s="3"/>
      <c r="B591" s="9"/>
      <c r="C591" s="3"/>
      <c r="D591" s="9"/>
      <c r="E591" s="9"/>
      <c r="F591" s="9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5">
      <c r="A592" s="3"/>
      <c r="B592" s="9"/>
      <c r="C592" s="3"/>
      <c r="D592" s="9"/>
      <c r="E592" s="9"/>
      <c r="F592" s="9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5">
      <c r="A593" s="3"/>
      <c r="B593" s="9"/>
      <c r="C593" s="3"/>
      <c r="D593" s="9"/>
      <c r="E593" s="9"/>
      <c r="F593" s="9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5">
      <c r="A594" s="3"/>
      <c r="B594" s="9"/>
      <c r="C594" s="3"/>
      <c r="D594" s="9"/>
      <c r="E594" s="9"/>
      <c r="F594" s="9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5">
      <c r="A595" s="3"/>
      <c r="B595" s="9"/>
      <c r="C595" s="3"/>
      <c r="D595" s="9"/>
      <c r="E595" s="9"/>
      <c r="F595" s="9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5">
      <c r="A596" s="3"/>
      <c r="B596" s="9"/>
      <c r="C596" s="3"/>
      <c r="D596" s="9"/>
      <c r="E596" s="9"/>
      <c r="F596" s="9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5">
      <c r="A597" s="3"/>
      <c r="B597" s="9"/>
      <c r="C597" s="3"/>
      <c r="D597" s="9"/>
      <c r="E597" s="9"/>
      <c r="F597" s="9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5">
      <c r="A598" s="3"/>
      <c r="B598" s="9"/>
      <c r="C598" s="3"/>
      <c r="D598" s="9"/>
      <c r="E598" s="9"/>
      <c r="F598" s="9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5">
      <c r="A599" s="3"/>
      <c r="B599" s="9"/>
      <c r="C599" s="3"/>
      <c r="D599" s="9"/>
      <c r="E599" s="9"/>
      <c r="F599" s="9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5">
      <c r="A600" s="3"/>
      <c r="B600" s="9"/>
      <c r="C600" s="3"/>
      <c r="D600" s="9"/>
      <c r="E600" s="9"/>
      <c r="F600" s="9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5">
      <c r="A601" s="3"/>
      <c r="B601" s="9"/>
      <c r="C601" s="3"/>
      <c r="D601" s="9"/>
      <c r="E601" s="9"/>
      <c r="F601" s="9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5">
      <c r="A602" s="3"/>
      <c r="B602" s="9"/>
      <c r="C602" s="3"/>
      <c r="D602" s="9"/>
      <c r="E602" s="9"/>
      <c r="F602" s="9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5">
      <c r="A603" s="3"/>
      <c r="B603" s="9"/>
      <c r="C603" s="3"/>
      <c r="D603" s="9"/>
      <c r="E603" s="9"/>
      <c r="F603" s="9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5">
      <c r="A604" s="3"/>
      <c r="B604" s="9"/>
      <c r="C604" s="3"/>
      <c r="D604" s="9"/>
      <c r="E604" s="9"/>
      <c r="F604" s="9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5">
      <c r="A605" s="3"/>
      <c r="B605" s="9"/>
      <c r="C605" s="3"/>
      <c r="D605" s="9"/>
      <c r="E605" s="9"/>
      <c r="F605" s="9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5">
      <c r="A606" s="3"/>
      <c r="B606" s="9"/>
      <c r="C606" s="3"/>
      <c r="D606" s="9"/>
      <c r="E606" s="9"/>
      <c r="F606" s="9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5">
      <c r="A607" s="3"/>
      <c r="B607" s="9"/>
      <c r="C607" s="3"/>
      <c r="D607" s="9"/>
      <c r="E607" s="9"/>
      <c r="F607" s="9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5">
      <c r="A608" s="3"/>
      <c r="B608" s="9"/>
      <c r="C608" s="3"/>
      <c r="D608" s="9"/>
      <c r="E608" s="9"/>
      <c r="F608" s="9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5">
      <c r="A609" s="3"/>
      <c r="B609" s="9"/>
      <c r="C609" s="3"/>
      <c r="D609" s="9"/>
      <c r="E609" s="9"/>
      <c r="F609" s="9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5">
      <c r="A610" s="3"/>
      <c r="B610" s="9"/>
      <c r="C610" s="3"/>
      <c r="D610" s="9"/>
      <c r="E610" s="9"/>
      <c r="F610" s="9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5">
      <c r="A611" s="3"/>
      <c r="B611" s="9"/>
      <c r="C611" s="3"/>
      <c r="D611" s="9"/>
      <c r="E611" s="9"/>
      <c r="F611" s="9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5">
      <c r="A612" s="3"/>
      <c r="B612" s="9"/>
      <c r="C612" s="3"/>
      <c r="D612" s="9"/>
      <c r="E612" s="9"/>
      <c r="F612" s="9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5">
      <c r="A613" s="3"/>
      <c r="B613" s="9"/>
      <c r="C613" s="3"/>
      <c r="D613" s="9"/>
      <c r="E613" s="9"/>
      <c r="F613" s="9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5">
      <c r="A614" s="3"/>
      <c r="B614" s="9"/>
      <c r="C614" s="3"/>
      <c r="D614" s="9"/>
      <c r="E614" s="9"/>
      <c r="F614" s="9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5">
      <c r="A615" s="3"/>
      <c r="B615" s="9"/>
      <c r="C615" s="3"/>
      <c r="D615" s="9"/>
      <c r="E615" s="9"/>
      <c r="F615" s="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5">
      <c r="A616" s="3"/>
      <c r="B616" s="9"/>
      <c r="C616" s="3"/>
      <c r="D616" s="9"/>
      <c r="E616" s="9"/>
      <c r="F616" s="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5">
      <c r="A617" s="3"/>
      <c r="B617" s="9"/>
      <c r="C617" s="3"/>
      <c r="D617" s="9"/>
      <c r="E617" s="9"/>
      <c r="F617" s="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5">
      <c r="A618" s="3"/>
      <c r="B618" s="9"/>
      <c r="C618" s="3"/>
      <c r="D618" s="9"/>
      <c r="E618" s="9"/>
      <c r="F618" s="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5">
      <c r="A619" s="3"/>
      <c r="B619" s="9"/>
      <c r="C619" s="3"/>
      <c r="D619" s="9"/>
      <c r="E619" s="9"/>
      <c r="F619" s="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5">
      <c r="A620" s="3"/>
      <c r="B620" s="9"/>
      <c r="C620" s="3"/>
      <c r="D620" s="9"/>
      <c r="E620" s="9"/>
      <c r="F620" s="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5">
      <c r="A621" s="3"/>
      <c r="B621" s="9"/>
      <c r="C621" s="3"/>
      <c r="D621" s="9"/>
      <c r="E621" s="9"/>
      <c r="F621" s="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5">
      <c r="A622" s="3"/>
      <c r="B622" s="9"/>
      <c r="C622" s="3"/>
      <c r="D622" s="9"/>
      <c r="E622" s="9"/>
      <c r="F622" s="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5">
      <c r="A623" s="3"/>
      <c r="B623" s="9"/>
      <c r="C623" s="3"/>
      <c r="D623" s="9"/>
      <c r="E623" s="9"/>
      <c r="F623" s="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5">
      <c r="A624" s="3"/>
      <c r="B624" s="9"/>
      <c r="C624" s="3"/>
      <c r="D624" s="9"/>
      <c r="E624" s="9"/>
      <c r="F624" s="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5">
      <c r="A625" s="3"/>
      <c r="B625" s="9"/>
      <c r="C625" s="3"/>
      <c r="D625" s="9"/>
      <c r="E625" s="9"/>
      <c r="F625" s="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5">
      <c r="A626" s="3"/>
      <c r="B626" s="9"/>
      <c r="C626" s="3"/>
      <c r="D626" s="9"/>
      <c r="E626" s="9"/>
      <c r="F626" s="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5">
      <c r="A627" s="3"/>
      <c r="B627" s="9"/>
      <c r="C627" s="3"/>
      <c r="D627" s="9"/>
      <c r="E627" s="9"/>
      <c r="F627" s="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5">
      <c r="A628" s="3"/>
      <c r="B628" s="9"/>
      <c r="C628" s="3"/>
      <c r="D628" s="9"/>
      <c r="E628" s="9"/>
      <c r="F628" s="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5">
      <c r="A629" s="3"/>
      <c r="B629" s="9"/>
      <c r="C629" s="3"/>
      <c r="D629" s="9"/>
      <c r="E629" s="9"/>
      <c r="F629" s="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5">
      <c r="A630" s="3"/>
      <c r="B630" s="9"/>
      <c r="C630" s="3"/>
      <c r="D630" s="9"/>
      <c r="E630" s="9"/>
      <c r="F630" s="9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5">
      <c r="A631" s="3"/>
      <c r="B631" s="9"/>
      <c r="C631" s="3"/>
      <c r="D631" s="9"/>
      <c r="E631" s="9"/>
      <c r="F631" s="9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5">
      <c r="A632" s="3"/>
      <c r="B632" s="9"/>
      <c r="C632" s="3"/>
      <c r="D632" s="9"/>
      <c r="E632" s="9"/>
      <c r="F632" s="9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5">
      <c r="A633" s="3"/>
      <c r="B633" s="9"/>
      <c r="C633" s="3"/>
      <c r="D633" s="9"/>
      <c r="E633" s="9"/>
      <c r="F633" s="9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5">
      <c r="A634" s="3"/>
      <c r="B634" s="9"/>
      <c r="C634" s="3"/>
      <c r="D634" s="9"/>
      <c r="E634" s="9"/>
      <c r="F634" s="9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5">
      <c r="A635" s="3"/>
      <c r="B635" s="9"/>
      <c r="C635" s="3"/>
      <c r="D635" s="9"/>
      <c r="E635" s="9"/>
      <c r="F635" s="9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5">
      <c r="A636" s="3"/>
      <c r="B636" s="9"/>
      <c r="C636" s="3"/>
      <c r="D636" s="9"/>
      <c r="E636" s="9"/>
      <c r="F636" s="9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5">
      <c r="A637" s="3"/>
      <c r="B637" s="9"/>
      <c r="C637" s="3"/>
      <c r="D637" s="9"/>
      <c r="E637" s="9"/>
      <c r="F637" s="9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5">
      <c r="A638" s="3"/>
      <c r="B638" s="9"/>
      <c r="C638" s="3"/>
      <c r="D638" s="9"/>
      <c r="E638" s="9"/>
      <c r="F638" s="9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5">
      <c r="A639" s="3"/>
      <c r="B639" s="9"/>
      <c r="C639" s="3"/>
      <c r="D639" s="9"/>
      <c r="E639" s="9"/>
      <c r="F639" s="9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5">
      <c r="A640" s="3"/>
      <c r="B640" s="9"/>
      <c r="C640" s="3"/>
      <c r="D640" s="9"/>
      <c r="E640" s="9"/>
      <c r="F640" s="9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5">
      <c r="A641" s="3"/>
      <c r="B641" s="9"/>
      <c r="C641" s="3"/>
      <c r="D641" s="9"/>
      <c r="E641" s="9"/>
      <c r="F641" s="9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5">
      <c r="A642" s="3"/>
      <c r="B642" s="9"/>
      <c r="C642" s="3"/>
      <c r="D642" s="9"/>
      <c r="E642" s="9"/>
      <c r="F642" s="9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5">
      <c r="A643" s="3"/>
      <c r="B643" s="9"/>
      <c r="C643" s="3"/>
      <c r="D643" s="9"/>
      <c r="E643" s="9"/>
      <c r="F643" s="9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5">
      <c r="A644" s="3"/>
      <c r="B644" s="9"/>
      <c r="C644" s="3"/>
      <c r="D644" s="9"/>
      <c r="E644" s="9"/>
      <c r="F644" s="9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5">
      <c r="A645" s="3"/>
      <c r="B645" s="9"/>
      <c r="C645" s="3"/>
      <c r="D645" s="9"/>
      <c r="E645" s="9"/>
      <c r="F645" s="9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5">
      <c r="A646" s="3"/>
      <c r="B646" s="9"/>
      <c r="C646" s="3"/>
      <c r="D646" s="9"/>
      <c r="E646" s="9"/>
      <c r="F646" s="9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5">
      <c r="A647" s="3"/>
      <c r="B647" s="9"/>
      <c r="C647" s="3"/>
      <c r="D647" s="9"/>
      <c r="E647" s="9"/>
      <c r="F647" s="9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5">
      <c r="A648" s="3"/>
      <c r="B648" s="9"/>
      <c r="C648" s="3"/>
      <c r="D648" s="9"/>
      <c r="E648" s="9"/>
      <c r="F648" s="9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5">
      <c r="A649" s="3"/>
      <c r="B649" s="9"/>
      <c r="C649" s="3"/>
      <c r="D649" s="9"/>
      <c r="E649" s="9"/>
      <c r="F649" s="9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5">
      <c r="A650" s="3"/>
      <c r="B650" s="9"/>
      <c r="C650" s="3"/>
      <c r="D650" s="9"/>
      <c r="E650" s="9"/>
      <c r="F650" s="9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5">
      <c r="A651" s="3"/>
      <c r="B651" s="9"/>
      <c r="C651" s="3"/>
      <c r="D651" s="9"/>
      <c r="E651" s="9"/>
      <c r="F651" s="9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5">
      <c r="A652" s="3"/>
      <c r="B652" s="9"/>
      <c r="C652" s="3"/>
      <c r="D652" s="9"/>
      <c r="E652" s="9"/>
      <c r="F652" s="9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5">
      <c r="A653" s="3"/>
      <c r="B653" s="9"/>
      <c r="C653" s="3"/>
      <c r="D653" s="9"/>
      <c r="E653" s="9"/>
      <c r="F653" s="9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5">
      <c r="A654" s="3"/>
      <c r="B654" s="9"/>
      <c r="C654" s="3"/>
      <c r="D654" s="9"/>
      <c r="E654" s="9"/>
      <c r="F654" s="9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5">
      <c r="A655" s="3"/>
      <c r="B655" s="9"/>
      <c r="C655" s="3"/>
      <c r="D655" s="9"/>
      <c r="E655" s="9"/>
      <c r="F655" s="9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5">
      <c r="A656" s="3"/>
      <c r="B656" s="9"/>
      <c r="C656" s="3"/>
      <c r="D656" s="9"/>
      <c r="E656" s="9"/>
      <c r="F656" s="9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5">
      <c r="A657" s="3"/>
      <c r="B657" s="9"/>
      <c r="C657" s="3"/>
      <c r="D657" s="9"/>
      <c r="E657" s="9"/>
      <c r="F657" s="9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5">
      <c r="A658" s="3"/>
      <c r="B658" s="9"/>
      <c r="C658" s="3"/>
      <c r="D658" s="9"/>
      <c r="E658" s="9"/>
      <c r="F658" s="9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5">
      <c r="A659" s="3"/>
      <c r="B659" s="9"/>
      <c r="C659" s="3"/>
      <c r="D659" s="9"/>
      <c r="E659" s="9"/>
      <c r="F659" s="9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5">
      <c r="A660" s="3"/>
      <c r="B660" s="9"/>
      <c r="C660" s="3"/>
      <c r="D660" s="9"/>
      <c r="E660" s="9"/>
      <c r="F660" s="9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5">
      <c r="A661" s="3"/>
      <c r="B661" s="9"/>
      <c r="C661" s="3"/>
      <c r="D661" s="9"/>
      <c r="E661" s="9"/>
      <c r="F661" s="9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5">
      <c r="A662" s="3"/>
      <c r="B662" s="9"/>
      <c r="C662" s="3"/>
      <c r="D662" s="9"/>
      <c r="E662" s="9"/>
      <c r="F662" s="9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5">
      <c r="A663" s="3"/>
      <c r="B663" s="9"/>
      <c r="C663" s="3"/>
      <c r="D663" s="9"/>
      <c r="E663" s="9"/>
      <c r="F663" s="9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5">
      <c r="A664" s="3"/>
      <c r="B664" s="9"/>
      <c r="C664" s="3"/>
      <c r="D664" s="9"/>
      <c r="E664" s="9"/>
      <c r="F664" s="9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5">
      <c r="A665" s="3"/>
      <c r="B665" s="9"/>
      <c r="C665" s="3"/>
      <c r="D665" s="9"/>
      <c r="E665" s="9"/>
      <c r="F665" s="9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5">
      <c r="A666" s="3"/>
      <c r="B666" s="9"/>
      <c r="C666" s="3"/>
      <c r="D666" s="9"/>
      <c r="E666" s="9"/>
      <c r="F666" s="9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5">
      <c r="A667" s="3"/>
      <c r="B667" s="9"/>
      <c r="C667" s="3"/>
      <c r="D667" s="9"/>
      <c r="E667" s="9"/>
      <c r="F667" s="9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5">
      <c r="A668" s="3"/>
      <c r="B668" s="9"/>
      <c r="C668" s="3"/>
      <c r="D668" s="9"/>
      <c r="E668" s="9"/>
      <c r="F668" s="9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5">
      <c r="A669" s="3"/>
      <c r="B669" s="9"/>
      <c r="C669" s="3"/>
      <c r="D669" s="9"/>
      <c r="E669" s="9"/>
      <c r="F669" s="9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5">
      <c r="A670" s="3"/>
      <c r="B670" s="9"/>
      <c r="C670" s="3"/>
      <c r="D670" s="9"/>
      <c r="E670" s="9"/>
      <c r="F670" s="9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5">
      <c r="A671" s="3"/>
      <c r="B671" s="9"/>
      <c r="C671" s="3"/>
      <c r="D671" s="9"/>
      <c r="E671" s="9"/>
      <c r="F671" s="9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5">
      <c r="A672" s="3"/>
      <c r="B672" s="9"/>
      <c r="C672" s="3"/>
      <c r="D672" s="9"/>
      <c r="E672" s="9"/>
      <c r="F672" s="9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5">
      <c r="A673" s="3"/>
      <c r="B673" s="9"/>
      <c r="C673" s="3"/>
      <c r="D673" s="9"/>
      <c r="E673" s="9"/>
      <c r="F673" s="9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5">
      <c r="A674" s="3"/>
      <c r="B674" s="9"/>
      <c r="C674" s="3"/>
      <c r="D674" s="9"/>
      <c r="E674" s="9"/>
      <c r="F674" s="9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5">
      <c r="A675" s="3"/>
      <c r="B675" s="9"/>
      <c r="C675" s="3"/>
      <c r="D675" s="9"/>
      <c r="E675" s="9"/>
      <c r="F675" s="9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5">
      <c r="A676" s="3"/>
      <c r="B676" s="9"/>
      <c r="C676" s="3"/>
      <c r="D676" s="9"/>
      <c r="E676" s="9"/>
      <c r="F676" s="9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5">
      <c r="A677" s="3"/>
      <c r="B677" s="9"/>
      <c r="C677" s="3"/>
      <c r="D677" s="9"/>
      <c r="E677" s="9"/>
      <c r="F677" s="9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5">
      <c r="A678" s="3"/>
      <c r="B678" s="9"/>
      <c r="C678" s="3"/>
      <c r="D678" s="9"/>
      <c r="E678" s="9"/>
      <c r="F678" s="9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5">
      <c r="A679" s="3"/>
      <c r="B679" s="9"/>
      <c r="C679" s="3"/>
      <c r="D679" s="9"/>
      <c r="E679" s="9"/>
      <c r="F679" s="9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5">
      <c r="A680" s="3"/>
      <c r="B680" s="9"/>
      <c r="C680" s="3"/>
      <c r="D680" s="9"/>
      <c r="E680" s="9"/>
      <c r="F680" s="9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5">
      <c r="A681" s="3"/>
      <c r="B681" s="9"/>
      <c r="C681" s="3"/>
      <c r="D681" s="9"/>
      <c r="E681" s="9"/>
      <c r="F681" s="9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5">
      <c r="A682" s="3"/>
      <c r="B682" s="9"/>
      <c r="C682" s="3"/>
      <c r="D682" s="9"/>
      <c r="E682" s="9"/>
      <c r="F682" s="9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5">
      <c r="A683" s="3"/>
      <c r="B683" s="9"/>
      <c r="C683" s="3"/>
      <c r="D683" s="9"/>
      <c r="E683" s="9"/>
      <c r="F683" s="9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5">
      <c r="A684" s="3"/>
      <c r="B684" s="9"/>
      <c r="C684" s="3"/>
      <c r="D684" s="9"/>
      <c r="E684" s="9"/>
      <c r="F684" s="9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5">
      <c r="A685" s="3"/>
      <c r="B685" s="9"/>
      <c r="C685" s="3"/>
      <c r="D685" s="9"/>
      <c r="E685" s="9"/>
      <c r="F685" s="9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5">
      <c r="A686" s="3"/>
      <c r="B686" s="9"/>
      <c r="C686" s="3"/>
      <c r="D686" s="9"/>
      <c r="E686" s="9"/>
      <c r="F686" s="9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5">
      <c r="A687" s="3"/>
      <c r="B687" s="9"/>
      <c r="C687" s="3"/>
      <c r="D687" s="9"/>
      <c r="E687" s="9"/>
      <c r="F687" s="9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5">
      <c r="A688" s="3"/>
      <c r="B688" s="9"/>
      <c r="C688" s="3"/>
      <c r="D688" s="9"/>
      <c r="E688" s="9"/>
      <c r="F688" s="9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5">
      <c r="A689" s="3"/>
      <c r="B689" s="9"/>
      <c r="C689" s="3"/>
      <c r="D689" s="9"/>
      <c r="E689" s="9"/>
      <c r="F689" s="9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5">
      <c r="A690" s="3"/>
      <c r="B690" s="9"/>
      <c r="C690" s="3"/>
      <c r="D690" s="9"/>
      <c r="E690" s="9"/>
      <c r="F690" s="9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5">
      <c r="A691" s="3"/>
      <c r="B691" s="9"/>
      <c r="C691" s="3"/>
      <c r="D691" s="9"/>
      <c r="E691" s="9"/>
      <c r="F691" s="9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5">
      <c r="A692" s="3"/>
      <c r="B692" s="9"/>
      <c r="C692" s="3"/>
      <c r="D692" s="9"/>
      <c r="E692" s="9"/>
      <c r="F692" s="9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5">
      <c r="A693" s="3"/>
      <c r="B693" s="9"/>
      <c r="C693" s="3"/>
      <c r="D693" s="9"/>
      <c r="E693" s="9"/>
      <c r="F693" s="9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5">
      <c r="A694" s="3"/>
      <c r="B694" s="9"/>
      <c r="C694" s="3"/>
      <c r="D694" s="9"/>
      <c r="E694" s="9"/>
      <c r="F694" s="9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5">
      <c r="A695" s="3"/>
      <c r="B695" s="9"/>
      <c r="C695" s="3"/>
      <c r="D695" s="9"/>
      <c r="E695" s="9"/>
      <c r="F695" s="9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5">
      <c r="A696" s="3"/>
      <c r="B696" s="9"/>
      <c r="C696" s="3"/>
      <c r="D696" s="9"/>
      <c r="E696" s="9"/>
      <c r="F696" s="9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5">
      <c r="A697" s="3"/>
      <c r="B697" s="9"/>
      <c r="C697" s="3"/>
      <c r="D697" s="9"/>
      <c r="E697" s="9"/>
      <c r="F697" s="9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5">
      <c r="A698" s="3"/>
      <c r="B698" s="9"/>
      <c r="C698" s="3"/>
      <c r="D698" s="9"/>
      <c r="E698" s="9"/>
      <c r="F698" s="9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5">
      <c r="A699" s="3"/>
      <c r="B699" s="9"/>
      <c r="C699" s="3"/>
      <c r="D699" s="9"/>
      <c r="E699" s="9"/>
      <c r="F699" s="9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5">
      <c r="A700" s="3"/>
      <c r="B700" s="9"/>
      <c r="C700" s="3"/>
      <c r="D700" s="9"/>
      <c r="E700" s="9"/>
      <c r="F700" s="9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5">
      <c r="A701" s="3"/>
      <c r="B701" s="9"/>
      <c r="C701" s="3"/>
      <c r="D701" s="9"/>
      <c r="E701" s="9"/>
      <c r="F701" s="9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5">
      <c r="A702" s="3"/>
      <c r="B702" s="9"/>
      <c r="C702" s="3"/>
      <c r="D702" s="9"/>
      <c r="E702" s="9"/>
      <c r="F702" s="9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5">
      <c r="A703" s="3"/>
      <c r="B703" s="9"/>
      <c r="C703" s="3"/>
      <c r="D703" s="9"/>
      <c r="E703" s="9"/>
      <c r="F703" s="9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5">
      <c r="A704" s="3"/>
      <c r="B704" s="9"/>
      <c r="C704" s="3"/>
      <c r="D704" s="9"/>
      <c r="E704" s="9"/>
      <c r="F704" s="9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5">
      <c r="A705" s="3"/>
      <c r="B705" s="9"/>
      <c r="C705" s="3"/>
      <c r="D705" s="9"/>
      <c r="E705" s="9"/>
      <c r="F705" s="9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5">
      <c r="A706" s="3"/>
      <c r="B706" s="9"/>
      <c r="C706" s="3"/>
      <c r="D706" s="9"/>
      <c r="E706" s="9"/>
      <c r="F706" s="9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5">
      <c r="A707" s="3"/>
      <c r="B707" s="9"/>
      <c r="C707" s="3"/>
      <c r="D707" s="9"/>
      <c r="E707" s="9"/>
      <c r="F707" s="9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5">
      <c r="A708" s="3"/>
      <c r="B708" s="9"/>
      <c r="C708" s="3"/>
      <c r="D708" s="9"/>
      <c r="E708" s="9"/>
      <c r="F708" s="9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5">
      <c r="A709" s="3"/>
      <c r="B709" s="9"/>
      <c r="C709" s="3"/>
      <c r="D709" s="9"/>
      <c r="E709" s="9"/>
      <c r="F709" s="9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5">
      <c r="A710" s="3"/>
      <c r="B710" s="9"/>
      <c r="C710" s="3"/>
      <c r="D710" s="9"/>
      <c r="E710" s="9"/>
      <c r="F710" s="9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5">
      <c r="A711" s="3"/>
      <c r="B711" s="9"/>
      <c r="C711" s="3"/>
      <c r="D711" s="9"/>
      <c r="E711" s="9"/>
      <c r="F711" s="9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5">
      <c r="A712" s="3"/>
      <c r="B712" s="9"/>
      <c r="C712" s="3"/>
      <c r="D712" s="9"/>
      <c r="E712" s="9"/>
      <c r="F712" s="9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5">
      <c r="A713" s="3"/>
      <c r="B713" s="9"/>
      <c r="C713" s="3"/>
      <c r="D713" s="9"/>
      <c r="E713" s="9"/>
      <c r="F713" s="9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5">
      <c r="A714" s="3"/>
      <c r="B714" s="9"/>
      <c r="C714" s="3"/>
      <c r="D714" s="9"/>
      <c r="E714" s="9"/>
      <c r="F714" s="9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5">
      <c r="A715" s="3"/>
      <c r="B715" s="9"/>
      <c r="C715" s="3"/>
      <c r="D715" s="9"/>
      <c r="E715" s="9"/>
      <c r="F715" s="9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5">
      <c r="A716" s="3"/>
      <c r="B716" s="9"/>
      <c r="C716" s="3"/>
      <c r="D716" s="9"/>
      <c r="E716" s="9"/>
      <c r="F716" s="9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5">
      <c r="A717" s="3"/>
      <c r="B717" s="9"/>
      <c r="C717" s="3"/>
      <c r="D717" s="9"/>
      <c r="E717" s="9"/>
      <c r="F717" s="9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5">
      <c r="A718" s="3"/>
      <c r="B718" s="9"/>
      <c r="C718" s="3"/>
      <c r="D718" s="9"/>
      <c r="E718" s="9"/>
      <c r="F718" s="9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5">
      <c r="A719" s="3"/>
      <c r="B719" s="9"/>
      <c r="C719" s="3"/>
      <c r="D719" s="9"/>
      <c r="E719" s="9"/>
      <c r="F719" s="9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5">
      <c r="A720" s="3"/>
      <c r="B720" s="9"/>
      <c r="C720" s="3"/>
      <c r="D720" s="9"/>
      <c r="E720" s="9"/>
      <c r="F720" s="9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5">
      <c r="A721" s="3"/>
      <c r="B721" s="9"/>
      <c r="C721" s="3"/>
      <c r="D721" s="9"/>
      <c r="E721" s="9"/>
      <c r="F721" s="9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5">
      <c r="A722" s="3"/>
      <c r="B722" s="9"/>
      <c r="C722" s="3"/>
      <c r="D722" s="9"/>
      <c r="E722" s="9"/>
      <c r="F722" s="9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5">
      <c r="A723" s="3"/>
      <c r="B723" s="9"/>
      <c r="C723" s="3"/>
      <c r="D723" s="9"/>
      <c r="E723" s="9"/>
      <c r="F723" s="9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5">
      <c r="A724" s="3"/>
      <c r="B724" s="9"/>
      <c r="C724" s="3"/>
      <c r="D724" s="9"/>
      <c r="E724" s="9"/>
      <c r="F724" s="9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5">
      <c r="A725" s="3"/>
      <c r="B725" s="9"/>
      <c r="C725" s="3"/>
      <c r="D725" s="9"/>
      <c r="E725" s="9"/>
      <c r="F725" s="9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5">
      <c r="A726" s="3"/>
      <c r="B726" s="9"/>
      <c r="C726" s="3"/>
      <c r="D726" s="9"/>
      <c r="E726" s="9"/>
      <c r="F726" s="9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5">
      <c r="A727" s="3"/>
      <c r="B727" s="9"/>
      <c r="C727" s="3"/>
      <c r="D727" s="9"/>
      <c r="E727" s="9"/>
      <c r="F727" s="9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5">
      <c r="A728" s="3"/>
      <c r="B728" s="9"/>
      <c r="C728" s="3"/>
      <c r="D728" s="9"/>
      <c r="E728" s="9"/>
      <c r="F728" s="9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5">
      <c r="A729" s="3"/>
      <c r="B729" s="9"/>
      <c r="C729" s="3"/>
      <c r="D729" s="9"/>
      <c r="E729" s="9"/>
      <c r="F729" s="9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5">
      <c r="A730" s="3"/>
      <c r="B730" s="9"/>
      <c r="C730" s="3"/>
      <c r="D730" s="9"/>
      <c r="E730" s="9"/>
      <c r="F730" s="9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5">
      <c r="A731" s="3"/>
      <c r="B731" s="9"/>
      <c r="C731" s="3"/>
      <c r="D731" s="9"/>
      <c r="E731" s="9"/>
      <c r="F731" s="9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5">
      <c r="A732" s="3"/>
      <c r="B732" s="9"/>
      <c r="C732" s="3"/>
      <c r="D732" s="9"/>
      <c r="E732" s="9"/>
      <c r="F732" s="9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5">
      <c r="A733" s="3"/>
      <c r="B733" s="9"/>
      <c r="C733" s="3"/>
      <c r="D733" s="9"/>
      <c r="E733" s="9"/>
      <c r="F733" s="9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5">
      <c r="A734" s="3"/>
      <c r="B734" s="9"/>
      <c r="C734" s="3"/>
      <c r="D734" s="9"/>
      <c r="E734" s="9"/>
      <c r="F734" s="9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5">
      <c r="A735" s="3"/>
      <c r="B735" s="9"/>
      <c r="C735" s="3"/>
      <c r="D735" s="9"/>
      <c r="E735" s="9"/>
      <c r="F735" s="9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5">
      <c r="A736" s="3"/>
      <c r="B736" s="9"/>
      <c r="C736" s="3"/>
      <c r="D736" s="9"/>
      <c r="E736" s="9"/>
      <c r="F736" s="9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5">
      <c r="A737" s="3"/>
      <c r="B737" s="9"/>
      <c r="C737" s="3"/>
      <c r="D737" s="9"/>
      <c r="E737" s="9"/>
      <c r="F737" s="9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5">
      <c r="A738" s="3"/>
      <c r="B738" s="9"/>
      <c r="C738" s="3"/>
      <c r="D738" s="9"/>
      <c r="E738" s="9"/>
      <c r="F738" s="9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5">
      <c r="A739" s="3"/>
      <c r="B739" s="9"/>
      <c r="C739" s="3"/>
      <c r="D739" s="9"/>
      <c r="E739" s="9"/>
      <c r="F739" s="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5">
      <c r="A740" s="3"/>
      <c r="B740" s="9"/>
      <c r="C740" s="3"/>
      <c r="D740" s="9"/>
      <c r="E740" s="9"/>
      <c r="F740" s="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5">
      <c r="A741" s="3"/>
      <c r="B741" s="9"/>
      <c r="C741" s="3"/>
      <c r="D741" s="9"/>
      <c r="E741" s="9"/>
      <c r="F741" s="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5">
      <c r="A742" s="3"/>
      <c r="B742" s="9"/>
      <c r="C742" s="3"/>
      <c r="D742" s="9"/>
      <c r="E742" s="9"/>
      <c r="F742" s="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5">
      <c r="A743" s="3"/>
      <c r="B743" s="9"/>
      <c r="C743" s="3"/>
      <c r="D743" s="9"/>
      <c r="E743" s="9"/>
      <c r="F743" s="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5">
      <c r="A744" s="3"/>
      <c r="B744" s="9"/>
      <c r="C744" s="3"/>
      <c r="D744" s="9"/>
      <c r="E744" s="9"/>
      <c r="F744" s="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5">
      <c r="A745" s="3"/>
      <c r="B745" s="9"/>
      <c r="C745" s="3"/>
      <c r="D745" s="9"/>
      <c r="E745" s="9"/>
      <c r="F745" s="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5">
      <c r="A746" s="3"/>
      <c r="B746" s="9"/>
      <c r="C746" s="3"/>
      <c r="D746" s="9"/>
      <c r="E746" s="9"/>
      <c r="F746" s="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5">
      <c r="A747" s="3"/>
      <c r="B747" s="9"/>
      <c r="C747" s="3"/>
      <c r="D747" s="9"/>
      <c r="E747" s="9"/>
      <c r="F747" s="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5">
      <c r="A748" s="3"/>
      <c r="B748" s="9"/>
      <c r="C748" s="3"/>
      <c r="D748" s="9"/>
      <c r="E748" s="9"/>
      <c r="F748" s="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5">
      <c r="A749" s="3"/>
      <c r="B749" s="9"/>
      <c r="C749" s="3"/>
      <c r="D749" s="9"/>
      <c r="E749" s="9"/>
      <c r="F749" s="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5">
      <c r="A750" s="3"/>
      <c r="B750" s="9"/>
      <c r="C750" s="3"/>
      <c r="D750" s="9"/>
      <c r="E750" s="9"/>
      <c r="F750" s="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5">
      <c r="A751" s="3"/>
      <c r="B751" s="9"/>
      <c r="C751" s="3"/>
      <c r="D751" s="9"/>
      <c r="E751" s="9"/>
      <c r="F751" s="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5">
      <c r="A752" s="3"/>
      <c r="B752" s="9"/>
      <c r="C752" s="3"/>
      <c r="D752" s="9"/>
      <c r="E752" s="9"/>
      <c r="F752" s="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5">
      <c r="A753" s="3"/>
      <c r="B753" s="9"/>
      <c r="C753" s="3"/>
      <c r="D753" s="9"/>
      <c r="E753" s="9"/>
      <c r="F753" s="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5">
      <c r="A754" s="3"/>
      <c r="B754" s="9"/>
      <c r="C754" s="3"/>
      <c r="D754" s="9"/>
      <c r="E754" s="9"/>
      <c r="F754" s="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5">
      <c r="A755" s="3"/>
      <c r="B755" s="9"/>
      <c r="C755" s="3"/>
      <c r="D755" s="9"/>
      <c r="E755" s="9"/>
      <c r="F755" s="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5">
      <c r="A756" s="3"/>
      <c r="B756" s="9"/>
      <c r="C756" s="3"/>
      <c r="D756" s="9"/>
      <c r="E756" s="9"/>
      <c r="F756" s="9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5">
      <c r="A757" s="3"/>
      <c r="B757" s="9"/>
      <c r="C757" s="3"/>
      <c r="D757" s="9"/>
      <c r="E757" s="9"/>
      <c r="F757" s="9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5">
      <c r="A758" s="3"/>
      <c r="B758" s="9"/>
      <c r="C758" s="3"/>
      <c r="D758" s="9"/>
      <c r="E758" s="9"/>
      <c r="F758" s="9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5">
      <c r="A759" s="3"/>
      <c r="B759" s="9"/>
      <c r="C759" s="3"/>
      <c r="D759" s="9"/>
      <c r="E759" s="9"/>
      <c r="F759" s="9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5">
      <c r="A760" s="3"/>
      <c r="B760" s="9"/>
      <c r="C760" s="3"/>
      <c r="D760" s="9"/>
      <c r="E760" s="9"/>
      <c r="F760" s="9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5">
      <c r="A761" s="3"/>
      <c r="B761" s="9"/>
      <c r="C761" s="3"/>
      <c r="D761" s="9"/>
      <c r="E761" s="9"/>
      <c r="F761" s="9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5">
      <c r="A762" s="3"/>
      <c r="B762" s="9"/>
      <c r="C762" s="3"/>
      <c r="D762" s="9"/>
      <c r="E762" s="9"/>
      <c r="F762" s="9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5">
      <c r="A763" s="3"/>
      <c r="B763" s="9"/>
      <c r="C763" s="3"/>
      <c r="D763" s="9"/>
      <c r="E763" s="9"/>
      <c r="F763" s="9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5">
      <c r="A764" s="3"/>
      <c r="B764" s="9"/>
      <c r="C764" s="3"/>
      <c r="D764" s="9"/>
      <c r="E764" s="9"/>
      <c r="F764" s="9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5">
      <c r="A765" s="3"/>
      <c r="B765" s="9"/>
      <c r="C765" s="3"/>
      <c r="D765" s="9"/>
      <c r="E765" s="9"/>
      <c r="F765" s="9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5">
      <c r="A766" s="3"/>
      <c r="B766" s="9"/>
      <c r="C766" s="3"/>
      <c r="D766" s="9"/>
      <c r="E766" s="9"/>
      <c r="F766" s="9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5">
      <c r="A767" s="3"/>
      <c r="B767" s="9"/>
      <c r="C767" s="3"/>
      <c r="D767" s="9"/>
      <c r="E767" s="9"/>
      <c r="F767" s="9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5">
      <c r="A768" s="3"/>
      <c r="B768" s="9"/>
      <c r="C768" s="3"/>
      <c r="D768" s="9"/>
      <c r="E768" s="9"/>
      <c r="F768" s="9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5">
      <c r="A769" s="3"/>
      <c r="B769" s="9"/>
      <c r="C769" s="3"/>
      <c r="D769" s="9"/>
      <c r="E769" s="9"/>
      <c r="F769" s="9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5">
      <c r="A770" s="3"/>
      <c r="B770" s="9"/>
      <c r="C770" s="3"/>
      <c r="D770" s="9"/>
      <c r="E770" s="9"/>
      <c r="F770" s="9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5">
      <c r="A771" s="3"/>
      <c r="B771" s="9"/>
      <c r="C771" s="3"/>
      <c r="D771" s="9"/>
      <c r="E771" s="9"/>
      <c r="F771" s="9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5">
      <c r="A772" s="3"/>
      <c r="B772" s="9"/>
      <c r="C772" s="3"/>
      <c r="D772" s="9"/>
      <c r="E772" s="9"/>
      <c r="F772" s="9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5">
      <c r="A773" s="3"/>
      <c r="B773" s="9"/>
      <c r="C773" s="3"/>
      <c r="D773" s="9"/>
      <c r="E773" s="9"/>
      <c r="F773" s="9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5">
      <c r="A774" s="3"/>
      <c r="B774" s="9"/>
      <c r="C774" s="3"/>
      <c r="D774" s="9"/>
      <c r="E774" s="9"/>
      <c r="F774" s="9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5">
      <c r="A775" s="3"/>
      <c r="B775" s="9"/>
      <c r="C775" s="3"/>
      <c r="D775" s="9"/>
      <c r="E775" s="9"/>
      <c r="F775" s="9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5">
      <c r="A776" s="3"/>
      <c r="B776" s="9"/>
      <c r="C776" s="3"/>
      <c r="D776" s="9"/>
      <c r="E776" s="9"/>
      <c r="F776" s="9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5">
      <c r="A777" s="3"/>
      <c r="B777" s="9"/>
      <c r="C777" s="3"/>
      <c r="D777" s="9"/>
      <c r="E777" s="9"/>
      <c r="F777" s="9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5">
      <c r="A778" s="3"/>
      <c r="B778" s="9"/>
      <c r="C778" s="3"/>
      <c r="D778" s="9"/>
      <c r="E778" s="9"/>
      <c r="F778" s="9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5">
      <c r="A779" s="3"/>
      <c r="B779" s="9"/>
      <c r="C779" s="3"/>
      <c r="D779" s="9"/>
      <c r="E779" s="9"/>
      <c r="F779" s="9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5">
      <c r="A780" s="3"/>
      <c r="B780" s="9"/>
      <c r="C780" s="3"/>
      <c r="D780" s="9"/>
      <c r="E780" s="9"/>
      <c r="F780" s="9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5">
      <c r="A781" s="3"/>
      <c r="B781" s="9"/>
      <c r="C781" s="3"/>
      <c r="D781" s="9"/>
      <c r="E781" s="9"/>
      <c r="F781" s="9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5">
      <c r="A782" s="3"/>
      <c r="B782" s="9"/>
      <c r="C782" s="3"/>
      <c r="D782" s="9"/>
      <c r="E782" s="9"/>
      <c r="F782" s="9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5">
      <c r="A783" s="3"/>
      <c r="B783" s="9"/>
      <c r="C783" s="3"/>
      <c r="D783" s="9"/>
      <c r="E783" s="9"/>
      <c r="F783" s="9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5">
      <c r="A784" s="3"/>
      <c r="B784" s="9"/>
      <c r="C784" s="3"/>
      <c r="D784" s="9"/>
      <c r="E784" s="9"/>
      <c r="F784" s="9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5">
      <c r="A785" s="3"/>
      <c r="B785" s="9"/>
      <c r="C785" s="3"/>
      <c r="D785" s="9"/>
      <c r="E785" s="9"/>
      <c r="F785" s="9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5">
      <c r="A786" s="3"/>
      <c r="B786" s="9"/>
      <c r="C786" s="3"/>
      <c r="D786" s="9"/>
      <c r="E786" s="9"/>
      <c r="F786" s="9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5">
      <c r="A787" s="3"/>
      <c r="B787" s="9"/>
      <c r="C787" s="3"/>
      <c r="D787" s="9"/>
      <c r="E787" s="9"/>
      <c r="F787" s="9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5">
      <c r="A788" s="3"/>
      <c r="B788" s="9"/>
      <c r="C788" s="3"/>
      <c r="D788" s="9"/>
      <c r="E788" s="9"/>
      <c r="F788" s="9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5">
      <c r="A789" s="3"/>
      <c r="B789" s="9"/>
      <c r="C789" s="3"/>
      <c r="D789" s="9"/>
      <c r="E789" s="9"/>
      <c r="F789" s="9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5">
      <c r="A790" s="3"/>
      <c r="B790" s="9"/>
      <c r="C790" s="3"/>
      <c r="D790" s="9"/>
      <c r="E790" s="9"/>
      <c r="F790" s="9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5">
      <c r="A791" s="3"/>
      <c r="B791" s="9"/>
      <c r="C791" s="3"/>
      <c r="D791" s="9"/>
      <c r="E791" s="9"/>
      <c r="F791" s="9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5">
      <c r="A792" s="3"/>
      <c r="B792" s="9"/>
      <c r="C792" s="3"/>
      <c r="D792" s="9"/>
      <c r="E792" s="9"/>
      <c r="F792" s="9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5">
      <c r="A793" s="3"/>
      <c r="B793" s="9"/>
      <c r="C793" s="3"/>
      <c r="D793" s="9"/>
      <c r="E793" s="9"/>
      <c r="F793" s="9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5">
      <c r="A794" s="3"/>
      <c r="B794" s="9"/>
      <c r="C794" s="3"/>
      <c r="D794" s="9"/>
      <c r="E794" s="9"/>
      <c r="F794" s="9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5">
      <c r="A795" s="3"/>
      <c r="B795" s="9"/>
      <c r="C795" s="3"/>
      <c r="D795" s="9"/>
      <c r="E795" s="9"/>
      <c r="F795" s="9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5">
      <c r="A796" s="3"/>
      <c r="B796" s="9"/>
      <c r="C796" s="3"/>
      <c r="D796" s="9"/>
      <c r="E796" s="9"/>
      <c r="F796" s="9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5">
      <c r="A797" s="3"/>
      <c r="B797" s="9"/>
      <c r="C797" s="3"/>
      <c r="D797" s="9"/>
      <c r="E797" s="9"/>
      <c r="F797" s="9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5">
      <c r="A798" s="3"/>
      <c r="B798" s="9"/>
      <c r="C798" s="3"/>
      <c r="D798" s="9"/>
      <c r="E798" s="9"/>
      <c r="F798" s="9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5">
      <c r="A799" s="3"/>
      <c r="B799" s="9"/>
      <c r="C799" s="3"/>
      <c r="D799" s="9"/>
      <c r="E799" s="9"/>
      <c r="F799" s="9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5">
      <c r="A800" s="3"/>
      <c r="B800" s="9"/>
      <c r="C800" s="3"/>
      <c r="D800" s="9"/>
      <c r="E800" s="9"/>
      <c r="F800" s="9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5">
      <c r="A801" s="3"/>
      <c r="B801" s="9"/>
      <c r="C801" s="3"/>
      <c r="D801" s="9"/>
      <c r="E801" s="9"/>
      <c r="F801" s="9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5">
      <c r="A802" s="3"/>
      <c r="B802" s="9"/>
      <c r="C802" s="3"/>
      <c r="D802" s="9"/>
      <c r="E802" s="9"/>
      <c r="F802" s="9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5">
      <c r="A803" s="3"/>
      <c r="B803" s="9"/>
      <c r="C803" s="3"/>
      <c r="D803" s="9"/>
      <c r="E803" s="9"/>
      <c r="F803" s="9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5">
      <c r="A804" s="3"/>
      <c r="B804" s="9"/>
      <c r="C804" s="3"/>
      <c r="D804" s="9"/>
      <c r="E804" s="9"/>
      <c r="F804" s="9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5">
      <c r="A805" s="3"/>
      <c r="B805" s="9"/>
      <c r="C805" s="3"/>
      <c r="D805" s="9"/>
      <c r="E805" s="9"/>
      <c r="F805" s="9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5">
      <c r="A806" s="3"/>
      <c r="B806" s="9"/>
      <c r="C806" s="3"/>
      <c r="D806" s="9"/>
      <c r="E806" s="9"/>
      <c r="F806" s="9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5">
      <c r="A807" s="3"/>
      <c r="B807" s="9"/>
      <c r="C807" s="3"/>
      <c r="D807" s="9"/>
      <c r="E807" s="9"/>
      <c r="F807" s="9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5">
      <c r="A808" s="3"/>
      <c r="B808" s="9"/>
      <c r="C808" s="3"/>
      <c r="D808" s="9"/>
      <c r="E808" s="9"/>
      <c r="F808" s="9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5">
      <c r="A809" s="3"/>
      <c r="B809" s="9"/>
      <c r="C809" s="3"/>
      <c r="D809" s="9"/>
      <c r="E809" s="9"/>
      <c r="F809" s="9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5">
      <c r="A810" s="3"/>
      <c r="B810" s="9"/>
      <c r="C810" s="3"/>
      <c r="D810" s="9"/>
      <c r="E810" s="9"/>
      <c r="F810" s="9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5">
      <c r="A811" s="3"/>
      <c r="B811" s="9"/>
      <c r="C811" s="3"/>
      <c r="D811" s="9"/>
      <c r="E811" s="9"/>
      <c r="F811" s="9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5">
      <c r="A812" s="3"/>
      <c r="B812" s="9"/>
      <c r="C812" s="3"/>
      <c r="D812" s="9"/>
      <c r="E812" s="9"/>
      <c r="F812" s="9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5">
      <c r="A813" s="3"/>
      <c r="B813" s="9"/>
      <c r="C813" s="3"/>
      <c r="D813" s="9"/>
      <c r="E813" s="9"/>
      <c r="F813" s="9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5">
      <c r="A814" s="3"/>
      <c r="B814" s="9"/>
      <c r="C814" s="3"/>
      <c r="D814" s="9"/>
      <c r="E814" s="9"/>
      <c r="F814" s="9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5">
      <c r="A815" s="3"/>
      <c r="B815" s="9"/>
      <c r="C815" s="3"/>
      <c r="D815" s="9"/>
      <c r="E815" s="9"/>
      <c r="F815" s="9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5">
      <c r="A816" s="3"/>
      <c r="B816" s="9"/>
      <c r="C816" s="3"/>
      <c r="D816" s="9"/>
      <c r="E816" s="9"/>
      <c r="F816" s="9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5">
      <c r="A817" s="3"/>
      <c r="B817" s="9"/>
      <c r="C817" s="3"/>
      <c r="D817" s="9"/>
      <c r="E817" s="9"/>
      <c r="F817" s="9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5">
      <c r="A818" s="3"/>
      <c r="B818" s="9"/>
      <c r="C818" s="3"/>
      <c r="D818" s="9"/>
      <c r="E818" s="9"/>
      <c r="F818" s="9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5">
      <c r="A819" s="3"/>
      <c r="B819" s="9"/>
      <c r="C819" s="3"/>
      <c r="D819" s="9"/>
      <c r="E819" s="9"/>
      <c r="F819" s="9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5">
      <c r="A820" s="3"/>
      <c r="B820" s="9"/>
      <c r="C820" s="3"/>
      <c r="D820" s="9"/>
      <c r="E820" s="9"/>
      <c r="F820" s="9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5">
      <c r="A821" s="3"/>
      <c r="B821" s="9"/>
      <c r="C821" s="3"/>
      <c r="D821" s="9"/>
      <c r="E821" s="9"/>
      <c r="F821" s="9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5">
      <c r="A822" s="3"/>
      <c r="B822" s="9"/>
      <c r="C822" s="3"/>
      <c r="D822" s="9"/>
      <c r="E822" s="9"/>
      <c r="F822" s="9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5">
      <c r="A823" s="3"/>
      <c r="B823" s="9"/>
      <c r="C823" s="3"/>
      <c r="D823" s="9"/>
      <c r="E823" s="9"/>
      <c r="F823" s="9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5">
      <c r="A824" s="3"/>
      <c r="B824" s="9"/>
      <c r="C824" s="3"/>
      <c r="D824" s="9"/>
      <c r="E824" s="9"/>
      <c r="F824" s="9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5">
      <c r="A825" s="3"/>
      <c r="B825" s="9"/>
      <c r="C825" s="3"/>
      <c r="D825" s="9"/>
      <c r="E825" s="9"/>
      <c r="F825" s="9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5">
      <c r="A826" s="3"/>
      <c r="B826" s="9"/>
      <c r="C826" s="3"/>
      <c r="D826" s="9"/>
      <c r="E826" s="9"/>
      <c r="F826" s="9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5">
      <c r="A827" s="3"/>
      <c r="B827" s="9"/>
      <c r="C827" s="3"/>
      <c r="D827" s="9"/>
      <c r="E827" s="9"/>
      <c r="F827" s="9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5">
      <c r="A828" s="3"/>
      <c r="B828" s="9"/>
      <c r="C828" s="3"/>
      <c r="D828" s="9"/>
      <c r="E828" s="9"/>
      <c r="F828" s="9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5">
      <c r="A829" s="3"/>
      <c r="B829" s="9"/>
      <c r="C829" s="3"/>
      <c r="D829" s="9"/>
      <c r="E829" s="9"/>
      <c r="F829" s="9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5">
      <c r="A830" s="3"/>
      <c r="B830" s="9"/>
      <c r="C830" s="3"/>
      <c r="D830" s="9"/>
      <c r="E830" s="9"/>
      <c r="F830" s="9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5">
      <c r="A831" s="3"/>
      <c r="B831" s="9"/>
      <c r="C831" s="3"/>
      <c r="D831" s="9"/>
      <c r="E831" s="9"/>
      <c r="F831" s="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5">
      <c r="A832" s="3"/>
      <c r="B832" s="9"/>
      <c r="C832" s="3"/>
      <c r="D832" s="9"/>
      <c r="E832" s="9"/>
      <c r="F832" s="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5">
      <c r="A833" s="3"/>
      <c r="B833" s="9"/>
      <c r="C833" s="3"/>
      <c r="D833" s="9"/>
      <c r="E833" s="9"/>
      <c r="F833" s="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5">
      <c r="A834" s="3"/>
      <c r="B834" s="9"/>
      <c r="C834" s="3"/>
      <c r="D834" s="9"/>
      <c r="E834" s="9"/>
      <c r="F834" s="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5">
      <c r="A835" s="3"/>
      <c r="B835" s="9"/>
      <c r="C835" s="3"/>
      <c r="D835" s="9"/>
      <c r="E835" s="9"/>
      <c r="F835" s="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5">
      <c r="A836" s="3"/>
      <c r="B836" s="9"/>
      <c r="C836" s="3"/>
      <c r="D836" s="9"/>
      <c r="E836" s="9"/>
      <c r="F836" s="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5">
      <c r="A837" s="3"/>
      <c r="B837" s="9"/>
      <c r="C837" s="3"/>
      <c r="D837" s="9"/>
      <c r="E837" s="9"/>
      <c r="F837" s="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5">
      <c r="A838" s="3"/>
      <c r="B838" s="9"/>
      <c r="C838" s="3"/>
      <c r="D838" s="9"/>
      <c r="E838" s="9"/>
      <c r="F838" s="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5">
      <c r="A839" s="3"/>
      <c r="B839" s="9"/>
      <c r="C839" s="3"/>
      <c r="D839" s="9"/>
      <c r="E839" s="9"/>
      <c r="F839" s="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5">
      <c r="A840" s="3"/>
      <c r="B840" s="9"/>
      <c r="C840" s="3"/>
      <c r="D840" s="9"/>
      <c r="E840" s="9"/>
      <c r="F840" s="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5">
      <c r="A841" s="3"/>
      <c r="B841" s="9"/>
      <c r="C841" s="3"/>
      <c r="D841" s="9"/>
      <c r="E841" s="9"/>
      <c r="F841" s="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5">
      <c r="A842" s="3"/>
      <c r="B842" s="9"/>
      <c r="C842" s="3"/>
      <c r="D842" s="9"/>
      <c r="E842" s="9"/>
      <c r="F842" s="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5">
      <c r="A843" s="3"/>
      <c r="B843" s="9"/>
      <c r="C843" s="3"/>
      <c r="D843" s="9"/>
      <c r="E843" s="9"/>
      <c r="F843" s="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5">
      <c r="A844" s="3"/>
      <c r="B844" s="9"/>
      <c r="C844" s="3"/>
      <c r="D844" s="9"/>
      <c r="E844" s="9"/>
      <c r="F844" s="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5">
      <c r="A845" s="3"/>
      <c r="B845" s="9"/>
      <c r="C845" s="3"/>
      <c r="D845" s="9"/>
      <c r="E845" s="9"/>
      <c r="F845" s="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5">
      <c r="A846" s="3"/>
      <c r="B846" s="9"/>
      <c r="C846" s="3"/>
      <c r="D846" s="9"/>
      <c r="E846" s="9"/>
      <c r="F846" s="9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5">
      <c r="A847" s="3"/>
      <c r="B847" s="9"/>
      <c r="C847" s="3"/>
      <c r="D847" s="9"/>
      <c r="E847" s="9"/>
      <c r="F847" s="9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5">
      <c r="A848" s="3"/>
      <c r="B848" s="9"/>
      <c r="C848" s="3"/>
      <c r="D848" s="9"/>
      <c r="E848" s="9"/>
      <c r="F848" s="9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5">
      <c r="A849" s="3"/>
      <c r="B849" s="9"/>
      <c r="C849" s="3"/>
      <c r="D849" s="9"/>
      <c r="E849" s="9"/>
      <c r="F849" s="9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5">
      <c r="A850" s="3"/>
      <c r="B850" s="9"/>
      <c r="C850" s="3"/>
      <c r="D850" s="9"/>
      <c r="E850" s="9"/>
      <c r="F850" s="9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5">
      <c r="A851" s="3"/>
      <c r="B851" s="9"/>
      <c r="C851" s="3"/>
      <c r="D851" s="9"/>
      <c r="E851" s="9"/>
      <c r="F851" s="9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5">
      <c r="A852" s="3"/>
      <c r="B852" s="9"/>
      <c r="C852" s="3"/>
      <c r="D852" s="9"/>
      <c r="E852" s="9"/>
      <c r="F852" s="9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5">
      <c r="A853" s="3"/>
      <c r="B853" s="9"/>
      <c r="C853" s="3"/>
      <c r="D853" s="9"/>
      <c r="E853" s="9"/>
      <c r="F853" s="9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5">
      <c r="A854" s="3"/>
      <c r="B854" s="9"/>
      <c r="C854" s="3"/>
      <c r="D854" s="9"/>
      <c r="E854" s="9"/>
      <c r="F854" s="9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5">
      <c r="A855" s="3"/>
      <c r="B855" s="9"/>
      <c r="C855" s="3"/>
      <c r="D855" s="9"/>
      <c r="E855" s="9"/>
      <c r="F855" s="9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5">
      <c r="A856" s="3"/>
      <c r="B856" s="9"/>
      <c r="C856" s="3"/>
      <c r="D856" s="9"/>
      <c r="E856" s="9"/>
      <c r="F856" s="9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5">
      <c r="A857" s="3"/>
      <c r="B857" s="9"/>
      <c r="C857" s="3"/>
      <c r="D857" s="9"/>
      <c r="E857" s="9"/>
      <c r="F857" s="9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5">
      <c r="A858" s="3"/>
      <c r="B858" s="9"/>
      <c r="C858" s="3"/>
      <c r="D858" s="9"/>
      <c r="E858" s="9"/>
      <c r="F858" s="9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5">
      <c r="A859" s="3"/>
      <c r="B859" s="9"/>
      <c r="C859" s="3"/>
      <c r="D859" s="9"/>
      <c r="E859" s="9"/>
      <c r="F859" s="9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5">
      <c r="A860" s="3"/>
      <c r="B860" s="9"/>
      <c r="C860" s="3"/>
      <c r="D860" s="9"/>
      <c r="E860" s="9"/>
      <c r="F860" s="9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5">
      <c r="A861" s="3"/>
      <c r="B861" s="9"/>
      <c r="C861" s="3"/>
      <c r="D861" s="9"/>
      <c r="E861" s="9"/>
      <c r="F861" s="9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5">
      <c r="A862" s="3"/>
      <c r="B862" s="9"/>
      <c r="C862" s="3"/>
      <c r="D862" s="9"/>
      <c r="E862" s="9"/>
      <c r="F862" s="9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5">
      <c r="A863" s="3"/>
      <c r="B863" s="9"/>
      <c r="C863" s="3"/>
      <c r="D863" s="9"/>
      <c r="E863" s="9"/>
      <c r="F863" s="9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5">
      <c r="A864" s="3"/>
      <c r="B864" s="9"/>
      <c r="C864" s="3"/>
      <c r="D864" s="9"/>
      <c r="E864" s="9"/>
      <c r="F864" s="9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5">
      <c r="A865" s="3"/>
      <c r="B865" s="9"/>
      <c r="C865" s="3"/>
      <c r="D865" s="9"/>
      <c r="E865" s="9"/>
      <c r="F865" s="9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5">
      <c r="A866" s="3"/>
      <c r="B866" s="9"/>
      <c r="C866" s="3"/>
      <c r="D866" s="9"/>
      <c r="E866" s="9"/>
      <c r="F866" s="9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5">
      <c r="A867" s="3"/>
      <c r="B867" s="9"/>
      <c r="C867" s="3"/>
      <c r="D867" s="9"/>
      <c r="E867" s="9"/>
      <c r="F867" s="9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5">
      <c r="A868" s="3"/>
      <c r="B868" s="9"/>
      <c r="C868" s="3"/>
      <c r="D868" s="9"/>
      <c r="E868" s="9"/>
      <c r="F868" s="9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5">
      <c r="A869" s="3"/>
      <c r="B869" s="9"/>
      <c r="C869" s="3"/>
      <c r="D869" s="9"/>
      <c r="E869" s="9"/>
      <c r="F869" s="9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5">
      <c r="A870" s="3"/>
      <c r="B870" s="9"/>
      <c r="C870" s="3"/>
      <c r="D870" s="9"/>
      <c r="E870" s="9"/>
      <c r="F870" s="9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5">
      <c r="A871" s="3"/>
      <c r="B871" s="9"/>
      <c r="C871" s="3"/>
      <c r="D871" s="9"/>
      <c r="E871" s="9"/>
      <c r="F871" s="9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5">
      <c r="A872" s="3"/>
      <c r="B872" s="9"/>
      <c r="C872" s="3"/>
      <c r="D872" s="9"/>
      <c r="E872" s="9"/>
      <c r="F872" s="9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5">
      <c r="A873" s="3"/>
      <c r="B873" s="9"/>
      <c r="C873" s="3"/>
      <c r="D873" s="9"/>
      <c r="E873" s="9"/>
      <c r="F873" s="9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5">
      <c r="A874" s="3"/>
      <c r="B874" s="9"/>
      <c r="C874" s="3"/>
      <c r="D874" s="9"/>
      <c r="E874" s="9"/>
      <c r="F874" s="9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5">
      <c r="A875" s="3"/>
      <c r="B875" s="9"/>
      <c r="C875" s="3"/>
      <c r="D875" s="9"/>
      <c r="E875" s="9"/>
      <c r="F875" s="9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5">
      <c r="A876" s="3"/>
      <c r="B876" s="9"/>
      <c r="C876" s="3"/>
      <c r="D876" s="9"/>
      <c r="E876" s="9"/>
      <c r="F876" s="9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5">
      <c r="A877" s="3"/>
      <c r="B877" s="9"/>
      <c r="C877" s="3"/>
      <c r="D877" s="9"/>
      <c r="E877" s="9"/>
      <c r="F877" s="9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5">
      <c r="A878" s="3"/>
      <c r="B878" s="9"/>
      <c r="C878" s="3"/>
      <c r="D878" s="9"/>
      <c r="E878" s="9"/>
      <c r="F878" s="9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5">
      <c r="A879" s="3"/>
      <c r="B879" s="9"/>
      <c r="C879" s="3"/>
      <c r="D879" s="9"/>
      <c r="E879" s="9"/>
      <c r="F879" s="9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5">
      <c r="A880" s="3"/>
      <c r="B880" s="9"/>
      <c r="C880" s="3"/>
      <c r="D880" s="9"/>
      <c r="E880" s="9"/>
      <c r="F880" s="9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5">
      <c r="A881" s="3"/>
      <c r="B881" s="9"/>
      <c r="C881" s="3"/>
      <c r="D881" s="9"/>
      <c r="E881" s="9"/>
      <c r="F881" s="9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5">
      <c r="A882" s="3"/>
      <c r="B882" s="9"/>
      <c r="C882" s="3"/>
      <c r="D882" s="9"/>
      <c r="E882" s="9"/>
      <c r="F882" s="9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5">
      <c r="A883" s="3"/>
      <c r="B883" s="9"/>
      <c r="C883" s="3"/>
      <c r="D883" s="9"/>
      <c r="E883" s="9"/>
      <c r="F883" s="9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5">
      <c r="A884" s="3"/>
      <c r="B884" s="9"/>
      <c r="C884" s="3"/>
      <c r="D884" s="9"/>
      <c r="E884" s="9"/>
      <c r="F884" s="9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5">
      <c r="A885" s="3"/>
      <c r="B885" s="9"/>
      <c r="C885" s="3"/>
      <c r="D885" s="9"/>
      <c r="E885" s="9"/>
      <c r="F885" s="9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5">
      <c r="A886" s="3"/>
      <c r="B886" s="9"/>
      <c r="C886" s="3"/>
      <c r="D886" s="9"/>
      <c r="E886" s="9"/>
      <c r="F886" s="9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5">
      <c r="A887" s="3"/>
      <c r="B887" s="9"/>
      <c r="C887" s="3"/>
      <c r="D887" s="9"/>
      <c r="E887" s="9"/>
      <c r="F887" s="9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5">
      <c r="A888" s="3"/>
      <c r="B888" s="9"/>
      <c r="C888" s="3"/>
      <c r="D888" s="9"/>
      <c r="E888" s="9"/>
      <c r="F888" s="9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5">
      <c r="A889" s="3"/>
      <c r="B889" s="9"/>
      <c r="C889" s="3"/>
      <c r="D889" s="9"/>
      <c r="E889" s="9"/>
      <c r="F889" s="9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5">
      <c r="A890" s="3"/>
      <c r="B890" s="9"/>
      <c r="C890" s="3"/>
      <c r="D890" s="9"/>
      <c r="E890" s="9"/>
      <c r="F890" s="9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5">
      <c r="A891" s="3"/>
      <c r="B891" s="9"/>
      <c r="C891" s="3"/>
      <c r="D891" s="9"/>
      <c r="E891" s="9"/>
      <c r="F891" s="9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5">
      <c r="A892" s="3"/>
      <c r="B892" s="9"/>
      <c r="C892" s="3"/>
      <c r="D892" s="9"/>
      <c r="E892" s="9"/>
      <c r="F892" s="9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5">
      <c r="A893" s="3"/>
      <c r="B893" s="9"/>
      <c r="C893" s="3"/>
      <c r="D893" s="9"/>
      <c r="E893" s="9"/>
      <c r="F893" s="9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5">
      <c r="A894" s="3"/>
      <c r="B894" s="9"/>
      <c r="C894" s="3"/>
      <c r="D894" s="9"/>
      <c r="E894" s="9"/>
      <c r="F894" s="9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5">
      <c r="A895" s="3"/>
      <c r="B895" s="9"/>
      <c r="C895" s="3"/>
      <c r="D895" s="9"/>
      <c r="E895" s="9"/>
      <c r="F895" s="9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5">
      <c r="A896" s="3"/>
      <c r="B896" s="9"/>
      <c r="C896" s="3"/>
      <c r="D896" s="9"/>
      <c r="E896" s="9"/>
      <c r="F896" s="9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5">
      <c r="A897" s="3"/>
      <c r="B897" s="9"/>
      <c r="C897" s="3"/>
      <c r="D897" s="9"/>
      <c r="E897" s="9"/>
      <c r="F897" s="9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5">
      <c r="A898" s="3"/>
      <c r="B898" s="9"/>
      <c r="C898" s="3"/>
      <c r="D898" s="9"/>
      <c r="E898" s="9"/>
      <c r="F898" s="9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5">
      <c r="A899" s="3"/>
      <c r="B899" s="9"/>
      <c r="C899" s="3"/>
      <c r="D899" s="9"/>
      <c r="E899" s="9"/>
      <c r="F899" s="9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5">
      <c r="A900" s="3"/>
      <c r="B900" s="9"/>
      <c r="C900" s="3"/>
      <c r="D900" s="9"/>
      <c r="E900" s="9"/>
      <c r="F900" s="9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5">
      <c r="A901" s="3"/>
      <c r="B901" s="9"/>
      <c r="C901" s="3"/>
      <c r="D901" s="9"/>
      <c r="E901" s="9"/>
      <c r="F901" s="9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5">
      <c r="A902" s="3"/>
      <c r="B902" s="9"/>
      <c r="C902" s="3"/>
      <c r="D902" s="9"/>
      <c r="E902" s="9"/>
      <c r="F902" s="9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5">
      <c r="A903" s="3"/>
      <c r="B903" s="9"/>
      <c r="C903" s="3"/>
      <c r="D903" s="9"/>
      <c r="E903" s="9"/>
      <c r="F903" s="9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5">
      <c r="A904" s="3"/>
      <c r="B904" s="9"/>
      <c r="C904" s="3"/>
      <c r="D904" s="9"/>
      <c r="E904" s="9"/>
      <c r="F904" s="9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5">
      <c r="A905" s="3"/>
      <c r="B905" s="9"/>
      <c r="C905" s="3"/>
      <c r="D905" s="9"/>
      <c r="E905" s="9"/>
      <c r="F905" s="9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5">
      <c r="A906" s="3"/>
      <c r="B906" s="9"/>
      <c r="C906" s="3"/>
      <c r="D906" s="9"/>
      <c r="E906" s="9"/>
      <c r="F906" s="9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5">
      <c r="A907" s="3"/>
      <c r="B907" s="9"/>
      <c r="C907" s="3"/>
      <c r="D907" s="9"/>
      <c r="E907" s="9"/>
      <c r="F907" s="9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5">
      <c r="A908" s="3"/>
      <c r="B908" s="9"/>
      <c r="C908" s="3"/>
      <c r="D908" s="9"/>
      <c r="E908" s="9"/>
      <c r="F908" s="9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5">
      <c r="A909" s="3"/>
      <c r="B909" s="9"/>
      <c r="C909" s="3"/>
      <c r="D909" s="9"/>
      <c r="E909" s="9"/>
      <c r="F909" s="9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5">
      <c r="A910" s="3"/>
      <c r="B910" s="9"/>
      <c r="C910" s="3"/>
      <c r="D910" s="9"/>
      <c r="E910" s="9"/>
      <c r="F910" s="9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5">
      <c r="A911" s="3"/>
      <c r="B911" s="9"/>
      <c r="C911" s="3"/>
      <c r="D911" s="9"/>
      <c r="E911" s="9"/>
      <c r="F911" s="9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5">
      <c r="A912" s="3"/>
      <c r="B912" s="9"/>
      <c r="C912" s="3"/>
      <c r="D912" s="9"/>
      <c r="E912" s="9"/>
      <c r="F912" s="9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5">
      <c r="A913" s="3"/>
      <c r="B913" s="9"/>
      <c r="C913" s="3"/>
      <c r="D913" s="9"/>
      <c r="E913" s="9"/>
      <c r="F913" s="9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5">
      <c r="A914" s="3"/>
      <c r="B914" s="9"/>
      <c r="C914" s="3"/>
      <c r="D914" s="9"/>
      <c r="E914" s="9"/>
      <c r="F914" s="9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5">
      <c r="A915" s="3"/>
      <c r="B915" s="9"/>
      <c r="C915" s="3"/>
      <c r="D915" s="9"/>
      <c r="E915" s="9"/>
      <c r="F915" s="9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5">
      <c r="A916" s="3"/>
      <c r="B916" s="9"/>
      <c r="C916" s="3"/>
      <c r="D916" s="9"/>
      <c r="E916" s="9"/>
      <c r="F916" s="9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5">
      <c r="A917" s="3"/>
      <c r="B917" s="9"/>
      <c r="C917" s="3"/>
      <c r="D917" s="9"/>
      <c r="E917" s="9"/>
      <c r="F917" s="9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5">
      <c r="A918" s="3"/>
      <c r="B918" s="9"/>
      <c r="C918" s="3"/>
      <c r="D918" s="9"/>
      <c r="E918" s="9"/>
      <c r="F918" s="9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5">
      <c r="A919" s="3"/>
      <c r="B919" s="9"/>
      <c r="C919" s="3"/>
      <c r="D919" s="9"/>
      <c r="E919" s="9"/>
      <c r="F919" s="9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5">
      <c r="A920" s="3"/>
      <c r="B920" s="9"/>
      <c r="C920" s="3"/>
      <c r="D920" s="9"/>
      <c r="E920" s="9"/>
      <c r="F920" s="9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5">
      <c r="A921" s="3"/>
      <c r="B921" s="9"/>
      <c r="C921" s="3"/>
      <c r="D921" s="9"/>
      <c r="E921" s="9"/>
      <c r="F921" s="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5">
      <c r="A922" s="3"/>
      <c r="B922" s="9"/>
      <c r="C922" s="3"/>
      <c r="D922" s="9"/>
      <c r="E922" s="9"/>
      <c r="F922" s="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5">
      <c r="A923" s="3"/>
      <c r="B923" s="9"/>
      <c r="C923" s="3"/>
      <c r="D923" s="9"/>
      <c r="E923" s="9"/>
      <c r="F923" s="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5">
      <c r="A924" s="3"/>
      <c r="B924" s="9"/>
      <c r="C924" s="3"/>
      <c r="D924" s="9"/>
      <c r="E924" s="9"/>
      <c r="F924" s="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5">
      <c r="A925" s="3"/>
      <c r="B925" s="9"/>
      <c r="C925" s="3"/>
      <c r="D925" s="9"/>
      <c r="E925" s="9"/>
      <c r="F925" s="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5">
      <c r="A926" s="3"/>
      <c r="B926" s="9"/>
      <c r="C926" s="3"/>
      <c r="D926" s="9"/>
      <c r="E926" s="9"/>
      <c r="F926" s="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5">
      <c r="A927" s="3"/>
      <c r="B927" s="9"/>
      <c r="C927" s="3"/>
      <c r="D927" s="9"/>
      <c r="E927" s="9"/>
      <c r="F927" s="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5">
      <c r="A928" s="3"/>
      <c r="B928" s="9"/>
      <c r="C928" s="3"/>
      <c r="D928" s="9"/>
      <c r="E928" s="9"/>
      <c r="F928" s="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5">
      <c r="A929" s="3"/>
      <c r="B929" s="9"/>
      <c r="C929" s="3"/>
      <c r="D929" s="9"/>
      <c r="E929" s="9"/>
      <c r="F929" s="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5">
      <c r="A930" s="3"/>
      <c r="B930" s="9"/>
      <c r="C930" s="3"/>
      <c r="D930" s="9"/>
      <c r="E930" s="9"/>
      <c r="F930" s="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5">
      <c r="A931" s="3"/>
      <c r="B931" s="9"/>
      <c r="C931" s="3"/>
      <c r="D931" s="9"/>
      <c r="E931" s="9"/>
      <c r="F931" s="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5">
      <c r="A932" s="3"/>
      <c r="B932" s="9"/>
      <c r="C932" s="3"/>
      <c r="D932" s="9"/>
      <c r="E932" s="9"/>
      <c r="F932" s="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5">
      <c r="A933" s="3"/>
      <c r="B933" s="9"/>
      <c r="C933" s="3"/>
      <c r="D933" s="9"/>
      <c r="E933" s="9"/>
      <c r="F933" s="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5">
      <c r="A934" s="3"/>
      <c r="B934" s="9"/>
      <c r="C934" s="3"/>
      <c r="D934" s="9"/>
      <c r="E934" s="9"/>
      <c r="F934" s="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5">
      <c r="A935" s="3"/>
      <c r="B935" s="9"/>
      <c r="C935" s="3"/>
      <c r="D935" s="9"/>
      <c r="E935" s="9"/>
      <c r="F935" s="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5">
      <c r="A936" s="3"/>
      <c r="B936" s="9"/>
      <c r="C936" s="3"/>
      <c r="D936" s="9"/>
      <c r="E936" s="9"/>
      <c r="F936" s="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5">
      <c r="A937" s="3"/>
      <c r="B937" s="9"/>
      <c r="C937" s="3"/>
      <c r="D937" s="9"/>
      <c r="E937" s="9"/>
      <c r="F937" s="9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5">
      <c r="A938" s="3"/>
      <c r="B938" s="9"/>
      <c r="C938" s="3"/>
      <c r="D938" s="9"/>
      <c r="E938" s="9"/>
      <c r="F938" s="9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5">
      <c r="A939" s="3"/>
      <c r="B939" s="9"/>
      <c r="C939" s="3"/>
      <c r="D939" s="9"/>
      <c r="E939" s="9"/>
      <c r="F939" s="9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5">
      <c r="A940" s="3"/>
      <c r="B940" s="9"/>
      <c r="C940" s="3"/>
      <c r="D940" s="9"/>
      <c r="E940" s="9"/>
      <c r="F940" s="9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5">
      <c r="A941" s="3"/>
      <c r="B941" s="9"/>
      <c r="C941" s="3"/>
      <c r="D941" s="9"/>
      <c r="E941" s="9"/>
      <c r="F941" s="9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5">
      <c r="A942" s="3"/>
      <c r="B942" s="9"/>
      <c r="C942" s="3"/>
      <c r="D942" s="9"/>
      <c r="E942" s="9"/>
      <c r="F942" s="9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5">
      <c r="A943" s="3"/>
      <c r="B943" s="9"/>
      <c r="C943" s="3"/>
      <c r="D943" s="9"/>
      <c r="E943" s="9"/>
      <c r="F943" s="9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5">
      <c r="A944" s="3"/>
      <c r="B944" s="9"/>
      <c r="C944" s="3"/>
      <c r="D944" s="9"/>
      <c r="E944" s="9"/>
      <c r="F944" s="9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5">
      <c r="A945" s="3"/>
      <c r="B945" s="9"/>
      <c r="C945" s="3"/>
      <c r="D945" s="9"/>
      <c r="E945" s="9"/>
      <c r="F945" s="9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5">
      <c r="A946" s="3"/>
      <c r="B946" s="9"/>
      <c r="C946" s="3"/>
      <c r="D946" s="9"/>
      <c r="E946" s="9"/>
      <c r="F946" s="9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5">
      <c r="A947" s="3"/>
      <c r="B947" s="9"/>
      <c r="C947" s="3"/>
      <c r="D947" s="9"/>
      <c r="E947" s="9"/>
      <c r="F947" s="9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5">
      <c r="A948" s="3"/>
      <c r="B948" s="9"/>
      <c r="C948" s="3"/>
      <c r="D948" s="9"/>
      <c r="E948" s="9"/>
      <c r="F948" s="9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5">
      <c r="A949" s="3"/>
      <c r="B949" s="9"/>
      <c r="C949" s="3"/>
      <c r="D949" s="9"/>
      <c r="E949" s="9"/>
      <c r="F949" s="9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5">
      <c r="A950" s="3"/>
      <c r="B950" s="9"/>
      <c r="C950" s="3"/>
      <c r="D950" s="9"/>
      <c r="E950" s="9"/>
      <c r="F950" s="9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5">
      <c r="A951" s="3"/>
      <c r="B951" s="9"/>
      <c r="C951" s="3"/>
      <c r="D951" s="9"/>
      <c r="E951" s="9"/>
      <c r="F951" s="9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5">
      <c r="A952" s="3"/>
      <c r="B952" s="9"/>
      <c r="C952" s="3"/>
      <c r="D952" s="9"/>
      <c r="E952" s="9"/>
      <c r="F952" s="9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5">
      <c r="A953" s="3"/>
      <c r="B953" s="9"/>
      <c r="C953" s="3"/>
      <c r="D953" s="9"/>
      <c r="E953" s="9"/>
      <c r="F953" s="9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5">
      <c r="A954" s="3"/>
      <c r="B954" s="9"/>
      <c r="C954" s="3"/>
      <c r="D954" s="9"/>
      <c r="E954" s="9"/>
      <c r="F954" s="9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5">
      <c r="A955" s="3"/>
      <c r="B955" s="9"/>
      <c r="C955" s="3"/>
      <c r="D955" s="9"/>
      <c r="E955" s="9"/>
      <c r="F955" s="9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5">
      <c r="A956" s="3"/>
      <c r="B956" s="9"/>
      <c r="C956" s="3"/>
      <c r="D956" s="9"/>
      <c r="E956" s="9"/>
      <c r="F956" s="9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5">
      <c r="A957" s="3"/>
      <c r="B957" s="9"/>
      <c r="C957" s="3"/>
      <c r="D957" s="9"/>
      <c r="E957" s="9"/>
      <c r="F957" s="9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5">
      <c r="A958" s="3"/>
      <c r="B958" s="9"/>
      <c r="C958" s="3"/>
      <c r="D958" s="9"/>
      <c r="E958" s="9"/>
      <c r="F958" s="9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5">
      <c r="A959" s="3"/>
      <c r="B959" s="9"/>
      <c r="C959" s="3"/>
      <c r="D959" s="9"/>
      <c r="E959" s="9"/>
      <c r="F959" s="9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5">
      <c r="A960" s="3"/>
      <c r="B960" s="9"/>
      <c r="C960" s="3"/>
      <c r="D960" s="9"/>
      <c r="E960" s="9"/>
      <c r="F960" s="9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5">
      <c r="A961" s="3"/>
      <c r="B961" s="9"/>
      <c r="C961" s="3"/>
      <c r="D961" s="9"/>
      <c r="E961" s="9"/>
      <c r="F961" s="9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5">
      <c r="A962" s="3"/>
      <c r="B962" s="9"/>
      <c r="C962" s="3"/>
      <c r="D962" s="9"/>
      <c r="E962" s="9"/>
      <c r="F962" s="9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5">
      <c r="A963" s="3"/>
      <c r="B963" s="9"/>
      <c r="C963" s="3"/>
      <c r="D963" s="9"/>
      <c r="E963" s="9"/>
      <c r="F963" s="9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5">
      <c r="A964" s="3"/>
      <c r="B964" s="9"/>
      <c r="C964" s="3"/>
      <c r="D964" s="9"/>
      <c r="E964" s="9"/>
      <c r="F964" s="9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5">
      <c r="A965" s="3"/>
      <c r="B965" s="9"/>
      <c r="C965" s="3"/>
      <c r="D965" s="9"/>
      <c r="E965" s="9"/>
      <c r="F965" s="9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5">
      <c r="A966" s="3"/>
      <c r="B966" s="9"/>
      <c r="C966" s="3"/>
      <c r="D966" s="9"/>
      <c r="E966" s="9"/>
      <c r="F966" s="9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5">
      <c r="A967" s="3"/>
      <c r="B967" s="9"/>
      <c r="C967" s="3"/>
      <c r="D967" s="9"/>
      <c r="E967" s="9"/>
      <c r="F967" s="9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5">
      <c r="A968" s="3"/>
      <c r="B968" s="9"/>
      <c r="C968" s="3"/>
      <c r="D968" s="9"/>
      <c r="E968" s="9"/>
      <c r="F968" s="9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5">
      <c r="A969" s="3"/>
      <c r="B969" s="9"/>
      <c r="C969" s="3"/>
      <c r="D969" s="9"/>
      <c r="E969" s="9"/>
      <c r="F969" s="9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5">
      <c r="A970" s="3"/>
      <c r="B970" s="9"/>
      <c r="C970" s="3"/>
      <c r="D970" s="9"/>
      <c r="E970" s="9"/>
      <c r="F970" s="9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5">
      <c r="A971" s="3"/>
      <c r="B971" s="9"/>
      <c r="C971" s="3"/>
      <c r="D971" s="9"/>
      <c r="E971" s="9"/>
      <c r="F971" s="9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5">
      <c r="A972" s="3"/>
      <c r="B972" s="9"/>
      <c r="C972" s="3"/>
      <c r="D972" s="9"/>
      <c r="E972" s="9"/>
      <c r="F972" s="9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5">
      <c r="A973" s="3"/>
      <c r="B973" s="9"/>
      <c r="C973" s="3"/>
      <c r="D973" s="9"/>
      <c r="E973" s="9"/>
      <c r="F973" s="9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5">
      <c r="A974" s="3"/>
      <c r="B974" s="9"/>
      <c r="C974" s="3"/>
      <c r="D974" s="9"/>
      <c r="E974" s="9"/>
      <c r="F974" s="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5">
      <c r="A975" s="3"/>
      <c r="B975" s="9"/>
      <c r="C975" s="3"/>
      <c r="D975" s="9"/>
      <c r="E975" s="9"/>
      <c r="F975" s="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5">
      <c r="A976" s="3"/>
      <c r="B976" s="9"/>
      <c r="C976" s="3"/>
      <c r="D976" s="9"/>
      <c r="E976" s="9"/>
      <c r="F976" s="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5">
      <c r="A977" s="3"/>
      <c r="B977" s="9"/>
      <c r="C977" s="3"/>
      <c r="D977" s="9"/>
      <c r="E977" s="9"/>
      <c r="F977" s="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5">
      <c r="A978" s="3"/>
      <c r="B978" s="9"/>
      <c r="C978" s="3"/>
      <c r="D978" s="9"/>
      <c r="E978" s="9"/>
      <c r="F978" s="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5">
      <c r="A979" s="3"/>
      <c r="B979" s="9"/>
      <c r="C979" s="3"/>
      <c r="D979" s="9"/>
      <c r="E979" s="9"/>
      <c r="F979" s="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5">
      <c r="A980" s="3"/>
      <c r="B980" s="9"/>
      <c r="C980" s="3"/>
      <c r="D980" s="9"/>
      <c r="E980" s="9"/>
      <c r="F980" s="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5">
      <c r="A981" s="3"/>
      <c r="B981" s="9"/>
      <c r="C981" s="3"/>
      <c r="D981" s="9"/>
      <c r="E981" s="9"/>
      <c r="F981" s="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5">
      <c r="A982" s="3"/>
      <c r="B982" s="9"/>
      <c r="C982" s="3"/>
      <c r="D982" s="9"/>
      <c r="E982" s="9"/>
      <c r="F982" s="9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5">
      <c r="A983" s="3"/>
      <c r="B983" s="9"/>
      <c r="C983" s="3"/>
      <c r="D983" s="9"/>
      <c r="E983" s="9"/>
      <c r="F983" s="9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5">
      <c r="A984" s="3"/>
      <c r="B984" s="9"/>
      <c r="C984" s="3"/>
      <c r="D984" s="9"/>
      <c r="E984" s="9"/>
      <c r="F984" s="9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5">
      <c r="A985" s="3"/>
      <c r="B985" s="9"/>
      <c r="C985" s="3"/>
      <c r="D985" s="9"/>
      <c r="E985" s="9"/>
      <c r="F985" s="9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.5">
      <c r="A986" s="3"/>
      <c r="B986" s="9"/>
      <c r="C986" s="3"/>
      <c r="D986" s="9"/>
      <c r="E986" s="9"/>
      <c r="F986" s="9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.5">
      <c r="A987" s="3"/>
      <c r="B987" s="9"/>
      <c r="C987" s="3"/>
      <c r="D987" s="9"/>
      <c r="E987" s="9"/>
      <c r="F987" s="9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4.5">
      <c r="A988" s="3"/>
      <c r="B988" s="9"/>
      <c r="C988" s="3"/>
      <c r="D988" s="9"/>
      <c r="E988" s="9"/>
      <c r="F988" s="9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4.5">
      <c r="A989" s="3"/>
      <c r="B989" s="9"/>
      <c r="C989" s="3"/>
      <c r="D989" s="9"/>
      <c r="E989" s="9"/>
      <c r="F989" s="9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4.5">
      <c r="A990" s="3"/>
      <c r="B990" s="9"/>
      <c r="C990" s="3"/>
      <c r="D990" s="9"/>
      <c r="E990" s="9"/>
      <c r="F990" s="9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4.5">
      <c r="A991" s="3"/>
      <c r="B991" s="9"/>
      <c r="C991" s="3"/>
      <c r="D991" s="9"/>
      <c r="E991" s="9"/>
      <c r="F991" s="9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4.5">
      <c r="A992" s="3"/>
      <c r="B992" s="9"/>
      <c r="C992" s="3"/>
      <c r="D992" s="9"/>
      <c r="E992" s="9"/>
      <c r="F992" s="9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4.5">
      <c r="A993" s="3"/>
      <c r="B993" s="9"/>
      <c r="C993" s="3"/>
      <c r="D993" s="9"/>
      <c r="E993" s="9"/>
      <c r="F993" s="9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4.5">
      <c r="A994" s="3"/>
      <c r="B994" s="9"/>
      <c r="C994" s="3"/>
      <c r="D994" s="9"/>
      <c r="E994" s="9"/>
      <c r="F994" s="9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4.5">
      <c r="A995" s="3"/>
      <c r="B995" s="9"/>
      <c r="C995" s="3"/>
      <c r="D995" s="9"/>
      <c r="E995" s="9"/>
      <c r="F995" s="9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4.5">
      <c r="A996" s="3"/>
      <c r="B996" s="9"/>
      <c r="C996" s="3"/>
      <c r="D996" s="9"/>
      <c r="E996" s="9"/>
      <c r="F996" s="9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4.5">
      <c r="A997" s="3"/>
      <c r="B997" s="9"/>
      <c r="C997" s="3"/>
      <c r="D997" s="9"/>
      <c r="E997" s="9"/>
      <c r="F997" s="9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4.5">
      <c r="A998" s="3"/>
      <c r="B998" s="9"/>
      <c r="C998" s="3"/>
      <c r="D998" s="9"/>
      <c r="E998" s="9"/>
      <c r="F998" s="9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4.5">
      <c r="A999" s="3"/>
      <c r="B999" s="9"/>
      <c r="C999" s="3"/>
      <c r="D999" s="9"/>
      <c r="E999" s="9"/>
      <c r="F999" s="9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79DD-839A-4088-862D-1794E9A6513F}">
  <dimension ref="A1:AL1000"/>
  <sheetViews>
    <sheetView workbookViewId="0">
      <selection activeCell="F14" sqref="F14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511</v>
      </c>
      <c r="C2" s="43"/>
      <c r="D2" s="6" t="s">
        <v>603</v>
      </c>
      <c r="E2" s="41"/>
      <c r="F2" s="32"/>
      <c r="G2" s="10"/>
      <c r="H2" s="19" t="s">
        <v>121</v>
      </c>
      <c r="I2" s="32"/>
      <c r="J2" s="18"/>
      <c r="K2" s="20"/>
      <c r="L2" s="10"/>
      <c r="M2" s="21" t="s">
        <v>592</v>
      </c>
      <c r="N2" s="22"/>
      <c r="O2" s="40"/>
      <c r="P2" s="49">
        <v>1</v>
      </c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604</v>
      </c>
      <c r="C3" s="18"/>
      <c r="D3" s="6"/>
      <c r="E3" s="36"/>
      <c r="F3" s="36"/>
      <c r="G3" s="10"/>
      <c r="H3" s="19" t="s">
        <v>481</v>
      </c>
      <c r="I3" s="32"/>
      <c r="J3" s="20"/>
      <c r="K3" s="18"/>
      <c r="L3" s="10"/>
      <c r="M3" s="21" t="s">
        <v>593</v>
      </c>
      <c r="N3" s="48"/>
      <c r="O3" s="23"/>
      <c r="P3" s="49">
        <v>1</v>
      </c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601</v>
      </c>
      <c r="B4" s="18"/>
      <c r="C4" s="18"/>
      <c r="D4" s="20" t="s">
        <v>602</v>
      </c>
      <c r="E4" s="36"/>
      <c r="F4" s="32"/>
      <c r="G4" s="10"/>
      <c r="H4" s="19" t="s">
        <v>147</v>
      </c>
      <c r="I4" s="32">
        <v>2</v>
      </c>
      <c r="J4" s="20"/>
      <c r="K4" s="18"/>
      <c r="L4" s="10"/>
      <c r="M4" s="21" t="s">
        <v>594</v>
      </c>
      <c r="N4" s="22"/>
      <c r="O4" s="23"/>
      <c r="P4" s="49">
        <v>1</v>
      </c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159</v>
      </c>
      <c r="B5" s="18"/>
      <c r="C5" s="18"/>
      <c r="D5" s="20"/>
      <c r="E5" s="36">
        <v>4</v>
      </c>
      <c r="F5" s="32"/>
      <c r="G5" s="10"/>
      <c r="H5" s="19" t="s">
        <v>482</v>
      </c>
      <c r="I5" s="32">
        <v>5</v>
      </c>
      <c r="J5" s="18"/>
      <c r="K5" s="18"/>
      <c r="L5" s="10"/>
      <c r="M5" s="21" t="s">
        <v>595</v>
      </c>
      <c r="N5" s="22"/>
      <c r="O5" s="23"/>
      <c r="P5" s="49">
        <v>1</v>
      </c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605</v>
      </c>
      <c r="B6" s="18"/>
      <c r="C6" s="18"/>
      <c r="D6" s="20"/>
      <c r="E6" s="36" t="s">
        <v>271</v>
      </c>
      <c r="F6" s="32"/>
      <c r="G6" s="10"/>
      <c r="H6" s="19" t="s">
        <v>480</v>
      </c>
      <c r="I6" s="32">
        <v>6</v>
      </c>
      <c r="J6" s="18"/>
      <c r="K6" s="18"/>
      <c r="L6" s="10"/>
      <c r="M6" s="21" t="s">
        <v>596</v>
      </c>
      <c r="N6" s="22"/>
      <c r="O6" s="23"/>
      <c r="P6" s="49">
        <v>1</v>
      </c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409</v>
      </c>
      <c r="B7" s="18"/>
      <c r="C7" s="18"/>
      <c r="D7" s="18"/>
      <c r="E7" s="36" t="s">
        <v>606</v>
      </c>
      <c r="F7" s="32"/>
      <c r="G7" s="10"/>
      <c r="H7" s="19" t="s">
        <v>210</v>
      </c>
      <c r="I7" s="32">
        <v>1</v>
      </c>
      <c r="J7" s="20"/>
      <c r="K7" s="18"/>
      <c r="L7" s="10"/>
      <c r="M7" s="21" t="s">
        <v>597</v>
      </c>
      <c r="N7" s="22"/>
      <c r="O7" s="42"/>
      <c r="P7" s="27">
        <v>1</v>
      </c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20</v>
      </c>
      <c r="B8" s="18"/>
      <c r="C8" s="18"/>
      <c r="D8" s="18"/>
      <c r="E8" s="36" t="s">
        <v>582</v>
      </c>
      <c r="F8" s="32"/>
      <c r="G8" s="10"/>
      <c r="H8" s="19" t="s">
        <v>483</v>
      </c>
      <c r="I8" s="32">
        <v>6</v>
      </c>
      <c r="J8" s="20"/>
      <c r="K8" s="18"/>
      <c r="L8" s="10"/>
      <c r="M8" s="21" t="s">
        <v>411</v>
      </c>
      <c r="N8" s="22"/>
      <c r="O8" s="42"/>
      <c r="P8" s="27" t="s">
        <v>598</v>
      </c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/>
      <c r="B9" s="18"/>
      <c r="C9" s="18"/>
      <c r="D9" s="20"/>
      <c r="E9" s="36"/>
      <c r="F9" s="32"/>
      <c r="G9" s="10"/>
      <c r="H9" s="19" t="s">
        <v>484</v>
      </c>
      <c r="I9" s="32">
        <v>3</v>
      </c>
      <c r="J9" s="18"/>
      <c r="K9" s="18"/>
      <c r="L9" s="10"/>
      <c r="M9" s="21" t="s">
        <v>599</v>
      </c>
      <c r="N9" s="22"/>
      <c r="O9" s="42"/>
      <c r="P9" s="27">
        <v>4</v>
      </c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/>
      <c r="B10" s="18"/>
      <c r="C10" s="18"/>
      <c r="D10" s="18"/>
      <c r="E10" s="36"/>
      <c r="F10" s="32"/>
      <c r="G10" s="10"/>
      <c r="H10" s="19" t="s">
        <v>485</v>
      </c>
      <c r="I10" s="32">
        <v>2</v>
      </c>
      <c r="J10" s="18"/>
      <c r="K10" s="18"/>
      <c r="L10" s="10"/>
      <c r="M10" s="28" t="s">
        <v>106</v>
      </c>
      <c r="N10" s="22"/>
      <c r="O10" s="42"/>
      <c r="P10" s="27">
        <v>3</v>
      </c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/>
      <c r="B11" s="18"/>
      <c r="C11" s="18"/>
      <c r="D11" s="18"/>
      <c r="E11" s="36"/>
      <c r="F11" s="32"/>
      <c r="G11" s="10"/>
      <c r="H11" s="19" t="s">
        <v>216</v>
      </c>
      <c r="I11" s="32">
        <v>2</v>
      </c>
      <c r="J11" s="18"/>
      <c r="K11" s="18"/>
      <c r="L11" s="10"/>
      <c r="M11" s="21" t="s">
        <v>20</v>
      </c>
      <c r="N11" s="48"/>
      <c r="O11" s="42"/>
      <c r="P11" s="27" t="s">
        <v>600</v>
      </c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/>
      <c r="B12" s="18"/>
      <c r="C12" s="18"/>
      <c r="D12" s="20"/>
      <c r="E12" s="36"/>
      <c r="F12" s="32"/>
      <c r="G12" s="10"/>
      <c r="H12" s="19" t="s">
        <v>214</v>
      </c>
      <c r="I12" s="32">
        <v>2</v>
      </c>
      <c r="J12" s="32"/>
      <c r="K12" s="18"/>
      <c r="L12" s="10"/>
      <c r="M12" s="21" t="s">
        <v>124</v>
      </c>
      <c r="N12" s="22"/>
      <c r="O12" s="42"/>
      <c r="P12" s="27" t="s">
        <v>507</v>
      </c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/>
      <c r="B13" s="18"/>
      <c r="C13" s="18"/>
      <c r="D13" s="18"/>
      <c r="E13" s="36"/>
      <c r="F13" s="32"/>
      <c r="G13" s="10"/>
      <c r="H13" s="19" t="s">
        <v>215</v>
      </c>
      <c r="I13" s="32">
        <v>3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32"/>
      <c r="G14" s="10"/>
      <c r="H14" s="19" t="s">
        <v>95</v>
      </c>
      <c r="I14" s="32">
        <v>1</v>
      </c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32"/>
      <c r="G15" s="10"/>
      <c r="H15" s="19" t="s">
        <v>480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32"/>
      <c r="G16" s="10"/>
      <c r="H16" s="19" t="s">
        <v>486</v>
      </c>
      <c r="I16" s="32"/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32"/>
      <c r="G17" s="10"/>
      <c r="H17" s="19" t="s">
        <v>150</v>
      </c>
      <c r="I17" s="32"/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32"/>
      <c r="G18" s="10"/>
      <c r="H18" s="19" t="s">
        <v>137</v>
      </c>
      <c r="I18" s="32">
        <v>2</v>
      </c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18"/>
      <c r="C19" s="18"/>
      <c r="D19" s="6"/>
      <c r="E19" s="36"/>
      <c r="F19" s="32"/>
      <c r="G19" s="10"/>
      <c r="H19" s="19" t="s">
        <v>145</v>
      </c>
      <c r="I19" s="32">
        <v>1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32"/>
      <c r="G20" s="10"/>
      <c r="H20" s="19" t="s">
        <v>539</v>
      </c>
      <c r="I20" s="32"/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18"/>
      <c r="E21" s="36"/>
      <c r="F21" s="32"/>
      <c r="G21" s="10"/>
      <c r="H21" s="19" t="s">
        <v>478</v>
      </c>
      <c r="I21" s="32"/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32"/>
      <c r="G22" s="10"/>
      <c r="H22" s="19" t="s">
        <v>488</v>
      </c>
      <c r="I22" s="32">
        <v>4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32"/>
      <c r="G23" s="10"/>
      <c r="H23" s="19" t="s">
        <v>489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32"/>
      <c r="G24" s="10"/>
      <c r="H24" s="19" t="s">
        <v>479</v>
      </c>
      <c r="I24" s="32">
        <v>2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32"/>
      <c r="G25" s="10"/>
      <c r="H25" s="19" t="s">
        <v>490</v>
      </c>
      <c r="I25" s="32">
        <v>4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158</v>
      </c>
      <c r="I26" s="20">
        <v>5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149</v>
      </c>
      <c r="I27" s="32">
        <v>1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221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20"/>
      <c r="E29" s="32"/>
      <c r="F29" s="36"/>
      <c r="G29" s="10"/>
      <c r="H29" s="19" t="s">
        <v>491</v>
      </c>
      <c r="I29" s="32">
        <v>5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128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213</v>
      </c>
      <c r="I31" s="32"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492</v>
      </c>
      <c r="I32" s="32">
        <v>3</v>
      </c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113</v>
      </c>
      <c r="I33" s="32">
        <v>1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538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540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 t="s">
        <v>607</v>
      </c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C86C-3BAE-4790-B3D7-465FA7957BAF}">
  <dimension ref="A1:AL1000"/>
  <sheetViews>
    <sheetView topLeftCell="C13" workbookViewId="0">
      <selection activeCell="D14" sqref="D14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618</v>
      </c>
      <c r="C2" s="43" t="s">
        <v>609</v>
      </c>
      <c r="D2" s="6" t="s">
        <v>617</v>
      </c>
      <c r="E2" s="41"/>
      <c r="F2" s="32"/>
      <c r="G2" s="10"/>
      <c r="H2" s="19" t="s">
        <v>121</v>
      </c>
      <c r="I2" s="32"/>
      <c r="J2" s="18"/>
      <c r="K2" s="20"/>
      <c r="L2" s="10"/>
      <c r="M2" s="21" t="s">
        <v>629</v>
      </c>
      <c r="N2" s="22"/>
      <c r="O2" s="40" t="s">
        <v>269</v>
      </c>
      <c r="P2" s="49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43" t="s">
        <v>608</v>
      </c>
      <c r="C3" s="18"/>
      <c r="D3" s="6"/>
      <c r="E3" s="36"/>
      <c r="F3" s="36"/>
      <c r="G3" s="10"/>
      <c r="H3" s="19" t="s">
        <v>481</v>
      </c>
      <c r="I3" s="32">
        <v>3</v>
      </c>
      <c r="J3" s="20"/>
      <c r="K3" s="18"/>
      <c r="L3" s="10"/>
      <c r="M3" s="21" t="s">
        <v>630</v>
      </c>
      <c r="N3" s="48"/>
      <c r="O3" s="23" t="s">
        <v>631</v>
      </c>
      <c r="P3" s="49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610</v>
      </c>
      <c r="B4" s="18"/>
      <c r="C4" s="18"/>
      <c r="D4" s="20"/>
      <c r="E4" s="36" t="s">
        <v>513</v>
      </c>
      <c r="F4" s="32"/>
      <c r="G4" s="10"/>
      <c r="H4" s="19" t="s">
        <v>147</v>
      </c>
      <c r="I4" s="32">
        <v>1</v>
      </c>
      <c r="J4" s="20"/>
      <c r="K4" s="18"/>
      <c r="L4" s="10"/>
      <c r="M4" s="21" t="s">
        <v>632</v>
      </c>
      <c r="N4" s="22"/>
      <c r="O4" s="23" t="s">
        <v>633</v>
      </c>
      <c r="P4" s="49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611</v>
      </c>
      <c r="B5" s="18"/>
      <c r="C5" s="18"/>
      <c r="D5" s="20"/>
      <c r="E5" s="36" t="s">
        <v>522</v>
      </c>
      <c r="F5" s="32"/>
      <c r="G5" s="10"/>
      <c r="H5" s="19" t="s">
        <v>482</v>
      </c>
      <c r="I5" s="32">
        <v>4</v>
      </c>
      <c r="J5" s="18"/>
      <c r="K5" s="18"/>
      <c r="L5" s="10"/>
      <c r="M5" s="21" t="s">
        <v>634</v>
      </c>
      <c r="N5" s="22"/>
      <c r="O5" s="23" t="s">
        <v>635</v>
      </c>
      <c r="P5" s="49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612</v>
      </c>
      <c r="B6" s="18"/>
      <c r="C6" s="18"/>
      <c r="D6" s="20"/>
      <c r="E6" s="36" t="s">
        <v>531</v>
      </c>
      <c r="F6" s="32"/>
      <c r="G6" s="10"/>
      <c r="H6" s="19" t="s">
        <v>480</v>
      </c>
      <c r="I6" s="32"/>
      <c r="J6" s="18"/>
      <c r="K6" s="18"/>
      <c r="L6" s="10"/>
      <c r="M6" s="21" t="s">
        <v>636</v>
      </c>
      <c r="N6" s="22"/>
      <c r="O6" s="23" t="s">
        <v>281</v>
      </c>
      <c r="P6" s="49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613</v>
      </c>
      <c r="B7" s="18"/>
      <c r="C7" s="18"/>
      <c r="D7" s="18"/>
      <c r="E7" s="36" t="s">
        <v>619</v>
      </c>
      <c r="F7" s="32"/>
      <c r="G7" s="10"/>
      <c r="H7" s="19" t="s">
        <v>210</v>
      </c>
      <c r="I7" s="32">
        <v>2</v>
      </c>
      <c r="J7" s="20"/>
      <c r="K7" s="18"/>
      <c r="L7" s="10"/>
      <c r="M7" s="21" t="s">
        <v>637</v>
      </c>
      <c r="N7" s="22"/>
      <c r="O7" s="42"/>
      <c r="P7" s="50" t="s">
        <v>638</v>
      </c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614</v>
      </c>
      <c r="B8" s="18"/>
      <c r="C8" s="18"/>
      <c r="D8" s="18"/>
      <c r="E8" s="36"/>
      <c r="F8" s="32">
        <v>1</v>
      </c>
      <c r="G8" s="10"/>
      <c r="H8" s="19" t="s">
        <v>483</v>
      </c>
      <c r="I8" s="32">
        <v>4</v>
      </c>
      <c r="J8" s="20"/>
      <c r="K8" s="18"/>
      <c r="L8" s="10"/>
      <c r="M8" s="21" t="s">
        <v>639</v>
      </c>
      <c r="N8" s="22"/>
      <c r="O8" s="42"/>
      <c r="P8" s="50" t="s">
        <v>640</v>
      </c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615</v>
      </c>
      <c r="B9" s="18"/>
      <c r="C9" s="18"/>
      <c r="D9" s="20"/>
      <c r="E9" s="36"/>
      <c r="F9" s="32">
        <v>1</v>
      </c>
      <c r="G9" s="10"/>
      <c r="H9" s="19" t="s">
        <v>484</v>
      </c>
      <c r="I9" s="32">
        <v>2</v>
      </c>
      <c r="J9" s="18"/>
      <c r="K9" s="18"/>
      <c r="L9" s="10"/>
      <c r="M9" s="21" t="s">
        <v>641</v>
      </c>
      <c r="N9" s="22"/>
      <c r="O9" s="42"/>
      <c r="P9" s="50" t="s">
        <v>640</v>
      </c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616</v>
      </c>
      <c r="B10" s="18"/>
      <c r="C10" s="18"/>
      <c r="D10" s="18"/>
      <c r="E10" s="36"/>
      <c r="F10" s="32">
        <v>2</v>
      </c>
      <c r="G10" s="10"/>
      <c r="H10" s="19" t="s">
        <v>485</v>
      </c>
      <c r="I10" s="32"/>
      <c r="J10" s="18"/>
      <c r="K10" s="18"/>
      <c r="L10" s="10"/>
      <c r="M10" s="28" t="s">
        <v>642</v>
      </c>
      <c r="N10" s="22"/>
      <c r="O10" s="42"/>
      <c r="P10" s="50" t="s">
        <v>640</v>
      </c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620</v>
      </c>
      <c r="B11" s="18"/>
      <c r="C11" s="18"/>
      <c r="D11" s="18"/>
      <c r="E11" s="36" t="s">
        <v>278</v>
      </c>
      <c r="F11" s="32"/>
      <c r="G11" s="10"/>
      <c r="H11" s="19" t="s">
        <v>216</v>
      </c>
      <c r="I11" s="32">
        <v>1</v>
      </c>
      <c r="J11" s="18"/>
      <c r="K11" s="18"/>
      <c r="L11" s="10"/>
      <c r="M11" s="21" t="s">
        <v>643</v>
      </c>
      <c r="N11" s="48" t="s">
        <v>644</v>
      </c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197</v>
      </c>
      <c r="B12" s="18"/>
      <c r="C12" s="18"/>
      <c r="D12" s="20"/>
      <c r="E12" s="36" t="s">
        <v>271</v>
      </c>
      <c r="F12" s="32"/>
      <c r="G12" s="10"/>
      <c r="H12" s="19" t="s">
        <v>214</v>
      </c>
      <c r="I12" s="32">
        <v>1</v>
      </c>
      <c r="J12" s="32"/>
      <c r="K12" s="18"/>
      <c r="L12" s="10"/>
      <c r="M12" s="21" t="s">
        <v>645</v>
      </c>
      <c r="N12" s="51" t="s">
        <v>646</v>
      </c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621</v>
      </c>
      <c r="B13" s="18"/>
      <c r="C13" s="18"/>
      <c r="D13" s="18"/>
      <c r="E13" s="36"/>
      <c r="F13" s="32">
        <v>1</v>
      </c>
      <c r="G13" s="10"/>
      <c r="H13" s="19" t="s">
        <v>215</v>
      </c>
      <c r="I13" s="32">
        <v>1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622</v>
      </c>
      <c r="B14" s="18"/>
      <c r="C14" s="18"/>
      <c r="D14" s="18"/>
      <c r="E14" s="36"/>
      <c r="F14" s="32">
        <v>1</v>
      </c>
      <c r="G14" s="10"/>
      <c r="H14" s="19" t="s">
        <v>95</v>
      </c>
      <c r="I14" s="32"/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303</v>
      </c>
      <c r="B15" s="18"/>
      <c r="C15" s="18"/>
      <c r="D15" s="6"/>
      <c r="E15" s="36" t="s">
        <v>281</v>
      </c>
      <c r="F15" s="32"/>
      <c r="G15" s="10"/>
      <c r="H15" s="19" t="s">
        <v>486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583</v>
      </c>
      <c r="B16" s="18"/>
      <c r="C16" s="18"/>
      <c r="D16" s="18"/>
      <c r="E16" s="36" t="s">
        <v>381</v>
      </c>
      <c r="F16" s="32"/>
      <c r="G16" s="10"/>
      <c r="H16" s="19" t="s">
        <v>150</v>
      </c>
      <c r="I16" s="32">
        <v>3</v>
      </c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623</v>
      </c>
      <c r="B17" s="6"/>
      <c r="C17" s="18"/>
      <c r="D17" s="18"/>
      <c r="E17" s="36" t="s">
        <v>229</v>
      </c>
      <c r="F17" s="32"/>
      <c r="G17" s="10"/>
      <c r="H17" s="19" t="s">
        <v>137</v>
      </c>
      <c r="I17" s="32">
        <v>1</v>
      </c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624</v>
      </c>
      <c r="B18" s="18"/>
      <c r="C18" s="18"/>
      <c r="D18" s="6"/>
      <c r="E18" s="36" t="s">
        <v>625</v>
      </c>
      <c r="F18" s="32"/>
      <c r="G18" s="10"/>
      <c r="H18" s="19" t="s">
        <v>145</v>
      </c>
      <c r="I18" s="32"/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626</v>
      </c>
      <c r="B19" s="18"/>
      <c r="C19" s="18"/>
      <c r="D19" s="6"/>
      <c r="E19" s="36"/>
      <c r="F19" s="32">
        <v>1</v>
      </c>
      <c r="G19" s="10"/>
      <c r="H19" s="19" t="s">
        <v>539</v>
      </c>
      <c r="I19" s="32">
        <v>1</v>
      </c>
      <c r="J19" s="18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627</v>
      </c>
      <c r="B20" s="18"/>
      <c r="C20" s="18"/>
      <c r="D20" s="18"/>
      <c r="E20" s="36"/>
      <c r="F20" s="32">
        <v>1</v>
      </c>
      <c r="G20" s="10"/>
      <c r="H20" s="19" t="s">
        <v>478</v>
      </c>
      <c r="I20" s="32">
        <v>1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18"/>
      <c r="E21" s="36"/>
      <c r="F21" s="32"/>
      <c r="G21" s="10"/>
      <c r="H21" s="19" t="s">
        <v>488</v>
      </c>
      <c r="I21" s="32">
        <v>3</v>
      </c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32"/>
      <c r="G22" s="10"/>
      <c r="H22" s="19" t="s">
        <v>489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32"/>
      <c r="G23" s="10"/>
      <c r="H23" s="19" t="s">
        <v>479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32"/>
      <c r="G24" s="10"/>
      <c r="H24" s="19" t="s">
        <v>490</v>
      </c>
      <c r="I24" s="32">
        <v>2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32"/>
      <c r="G25" s="10"/>
      <c r="H25" s="19" t="s">
        <v>158</v>
      </c>
      <c r="I25" s="20">
        <v>3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149</v>
      </c>
      <c r="I26" s="32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221</v>
      </c>
      <c r="I27" s="32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491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20"/>
      <c r="E29" s="32"/>
      <c r="F29" s="36"/>
      <c r="G29" s="10"/>
      <c r="H29" s="19" t="s">
        <v>128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213</v>
      </c>
      <c r="I30" s="32">
        <v>3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492</v>
      </c>
      <c r="I31" s="32">
        <v>2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113</v>
      </c>
      <c r="I32" s="32"/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538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540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607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 t="s">
        <v>628</v>
      </c>
      <c r="I36" s="32">
        <v>6</v>
      </c>
      <c r="J36" s="20"/>
      <c r="K36" s="18">
        <v>1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4896-81FE-4697-BBAD-27071F32AF28}">
  <dimension ref="A1:AL1000"/>
  <sheetViews>
    <sheetView workbookViewId="0">
      <selection sqref="A1:XFD1048576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647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701</v>
      </c>
      <c r="C2" s="43">
        <v>3420</v>
      </c>
      <c r="D2" s="6"/>
      <c r="E2" s="41"/>
      <c r="F2" s="32"/>
      <c r="G2" s="10"/>
      <c r="H2" s="19" t="s">
        <v>650</v>
      </c>
      <c r="I2" s="32">
        <v>5</v>
      </c>
      <c r="J2" s="18"/>
      <c r="K2" s="20"/>
      <c r="L2" s="10"/>
      <c r="M2" s="21" t="s">
        <v>630</v>
      </c>
      <c r="N2" s="48"/>
      <c r="O2" s="23">
        <v>15</v>
      </c>
      <c r="P2" s="49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53">
        <v>2862</v>
      </c>
      <c r="C3" s="18"/>
      <c r="D3" s="6"/>
      <c r="E3" s="36"/>
      <c r="F3" s="36"/>
      <c r="G3" s="10"/>
      <c r="H3" t="s">
        <v>651</v>
      </c>
      <c r="I3" s="32">
        <v>1</v>
      </c>
      <c r="J3" s="20"/>
      <c r="K3" s="18"/>
      <c r="L3" s="10"/>
      <c r="M3" s="21" t="s">
        <v>632</v>
      </c>
      <c r="N3" s="22"/>
      <c r="O3" s="23">
        <v>6</v>
      </c>
      <c r="P3" s="49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52" t="s">
        <v>648</v>
      </c>
      <c r="B4" s="54"/>
      <c r="C4" s="18"/>
      <c r="D4" s="20"/>
      <c r="E4" s="36" t="s">
        <v>686</v>
      </c>
      <c r="F4" s="32" t="s">
        <v>234</v>
      </c>
      <c r="G4" s="10"/>
      <c r="H4" s="19" t="s">
        <v>147</v>
      </c>
      <c r="I4" s="32">
        <v>4</v>
      </c>
      <c r="J4" s="20"/>
      <c r="K4" s="18"/>
      <c r="L4" s="10"/>
      <c r="M4" s="21" t="s">
        <v>634</v>
      </c>
      <c r="N4" s="22"/>
      <c r="O4" s="23" t="s">
        <v>697</v>
      </c>
      <c r="P4" s="49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649</v>
      </c>
      <c r="B5" s="18"/>
      <c r="C5" s="18"/>
      <c r="D5" s="20"/>
      <c r="E5" s="36" t="s">
        <v>687</v>
      </c>
      <c r="F5" s="32"/>
      <c r="G5" s="10"/>
      <c r="H5" s="19" t="s">
        <v>102</v>
      </c>
      <c r="I5" s="32">
        <v>4</v>
      </c>
      <c r="J5" s="18"/>
      <c r="K5" s="18"/>
      <c r="L5" s="10"/>
      <c r="M5" s="21" t="s">
        <v>636</v>
      </c>
      <c r="N5" s="22"/>
      <c r="O5" s="23" t="s">
        <v>698</v>
      </c>
      <c r="P5" s="49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610</v>
      </c>
      <c r="B6" s="18"/>
      <c r="C6" s="18"/>
      <c r="D6" s="20"/>
      <c r="E6" s="36" t="s">
        <v>688</v>
      </c>
      <c r="F6" s="32"/>
      <c r="G6" s="10"/>
      <c r="H6" s="19" t="s">
        <v>123</v>
      </c>
      <c r="I6" s="32">
        <v>4</v>
      </c>
      <c r="J6" s="18"/>
      <c r="K6" s="18"/>
      <c r="L6" s="10"/>
      <c r="M6" s="21" t="s">
        <v>415</v>
      </c>
      <c r="N6" s="22"/>
      <c r="O6" s="42" t="s">
        <v>681</v>
      </c>
      <c r="P6" s="49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452</v>
      </c>
      <c r="B7" s="18"/>
      <c r="C7" s="18"/>
      <c r="D7" s="18"/>
      <c r="E7" s="36" t="s">
        <v>684</v>
      </c>
      <c r="F7" s="32"/>
      <c r="G7" s="10"/>
      <c r="H7" s="19" t="s">
        <v>105</v>
      </c>
      <c r="I7" s="32">
        <v>3</v>
      </c>
      <c r="J7" s="20"/>
      <c r="K7" s="18"/>
      <c r="L7" s="10"/>
      <c r="M7" s="21" t="s">
        <v>699</v>
      </c>
      <c r="N7" s="22"/>
      <c r="O7" s="42" t="s">
        <v>231</v>
      </c>
      <c r="P7" s="50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450</v>
      </c>
      <c r="B8" s="18"/>
      <c r="C8" s="18"/>
      <c r="D8" s="18"/>
      <c r="E8" s="36" t="s">
        <v>271</v>
      </c>
      <c r="F8" s="32"/>
      <c r="G8" s="10"/>
      <c r="H8" s="19" t="s">
        <v>141</v>
      </c>
      <c r="I8" s="32">
        <v>3</v>
      </c>
      <c r="J8" s="20"/>
      <c r="K8" s="18"/>
      <c r="L8" s="10"/>
      <c r="M8" s="21" t="s">
        <v>700</v>
      </c>
      <c r="N8" s="22"/>
      <c r="O8" s="42" t="s">
        <v>436</v>
      </c>
      <c r="P8" s="50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544</v>
      </c>
      <c r="B9" s="18"/>
      <c r="C9" s="18"/>
      <c r="D9" s="20"/>
      <c r="E9" s="36" t="s">
        <v>271</v>
      </c>
      <c r="F9" s="32"/>
      <c r="G9" s="10"/>
      <c r="H9" s="19" t="s">
        <v>665</v>
      </c>
      <c r="I9" s="32"/>
      <c r="J9" s="18"/>
      <c r="K9" s="18"/>
      <c r="L9" s="10"/>
      <c r="M9" s="21"/>
      <c r="N9" s="22"/>
      <c r="O9" s="42"/>
      <c r="P9" s="50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652</v>
      </c>
      <c r="B10" s="18"/>
      <c r="C10" s="18"/>
      <c r="D10" s="18"/>
      <c r="E10" s="36" t="s">
        <v>676</v>
      </c>
      <c r="F10" s="32"/>
      <c r="G10" s="10"/>
      <c r="H10" s="19" t="s">
        <v>666</v>
      </c>
      <c r="I10" s="32">
        <v>1</v>
      </c>
      <c r="J10" s="18"/>
      <c r="K10" s="18"/>
      <c r="L10" s="10"/>
      <c r="M10" s="28"/>
      <c r="N10" s="22"/>
      <c r="O10" s="42"/>
      <c r="P10" s="50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584</v>
      </c>
      <c r="B11" s="18"/>
      <c r="C11" s="18"/>
      <c r="D11" s="20" t="s">
        <v>653</v>
      </c>
      <c r="E11" s="36"/>
      <c r="F11" s="32"/>
      <c r="G11" s="10"/>
      <c r="H11" s="19" t="s">
        <v>667</v>
      </c>
      <c r="I11" s="32">
        <v>1</v>
      </c>
      <c r="J11" s="18"/>
      <c r="K11" s="18"/>
      <c r="L11" s="10"/>
      <c r="M11" s="21"/>
      <c r="N11" s="48"/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225</v>
      </c>
      <c r="B12" s="18"/>
      <c r="C12" s="18"/>
      <c r="D12" s="20"/>
      <c r="E12" s="36" t="s">
        <v>395</v>
      </c>
      <c r="F12" s="32"/>
      <c r="G12" s="10"/>
      <c r="H12" s="19" t="s">
        <v>668</v>
      </c>
      <c r="I12" s="32">
        <v>4</v>
      </c>
      <c r="J12" s="32"/>
      <c r="K12" s="18"/>
      <c r="L12" s="10"/>
      <c r="M12" s="21"/>
      <c r="N12" s="51"/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135</v>
      </c>
      <c r="B13" s="18"/>
      <c r="C13" s="18"/>
      <c r="D13" s="18"/>
      <c r="E13" s="36"/>
      <c r="F13" s="32">
        <v>2</v>
      </c>
      <c r="G13" s="10"/>
      <c r="H13" s="19" t="s">
        <v>669</v>
      </c>
      <c r="I13" s="32">
        <v>1</v>
      </c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654</v>
      </c>
      <c r="B14" s="18"/>
      <c r="C14" s="18"/>
      <c r="D14" s="18"/>
      <c r="E14" s="36"/>
      <c r="F14" s="32">
        <v>2</v>
      </c>
      <c r="G14" s="10"/>
      <c r="H14" s="19" t="s">
        <v>670</v>
      </c>
      <c r="I14" s="32"/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655</v>
      </c>
      <c r="B15" s="18"/>
      <c r="C15" s="18"/>
      <c r="D15" s="6"/>
      <c r="E15" s="36"/>
      <c r="F15" s="32">
        <v>1</v>
      </c>
      <c r="G15" s="10"/>
      <c r="H15" s="19" t="s">
        <v>671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656</v>
      </c>
      <c r="B16" s="18"/>
      <c r="C16" s="18"/>
      <c r="D16" s="18"/>
      <c r="E16" s="36"/>
      <c r="F16" s="32">
        <v>2</v>
      </c>
      <c r="G16" s="10"/>
      <c r="H16" s="19" t="s">
        <v>672</v>
      </c>
      <c r="I16" s="32">
        <v>1</v>
      </c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657</v>
      </c>
      <c r="B17" s="6"/>
      <c r="C17" s="18"/>
      <c r="D17" s="18"/>
      <c r="E17" s="36"/>
      <c r="F17" s="32">
        <v>2</v>
      </c>
      <c r="G17" s="10"/>
      <c r="H17" s="19" t="s">
        <v>673</v>
      </c>
      <c r="I17" s="32"/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679</v>
      </c>
      <c r="B18" s="18"/>
      <c r="C18" s="18"/>
      <c r="D18" s="6"/>
      <c r="E18" s="36" t="s">
        <v>395</v>
      </c>
      <c r="F18" s="32"/>
      <c r="G18" s="10"/>
      <c r="H18" s="19" t="s">
        <v>674</v>
      </c>
      <c r="I18" s="32">
        <v>1</v>
      </c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658</v>
      </c>
      <c r="B19" s="18"/>
      <c r="C19" s="18"/>
      <c r="D19" s="6"/>
      <c r="E19" s="36" t="s">
        <v>231</v>
      </c>
      <c r="F19" s="32"/>
      <c r="G19" s="10"/>
      <c r="H19" s="19" t="s">
        <v>685</v>
      </c>
      <c r="I19" s="32">
        <v>2</v>
      </c>
      <c r="J19" s="20">
        <v>1</v>
      </c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659</v>
      </c>
      <c r="B20" s="18"/>
      <c r="C20" s="18"/>
      <c r="D20" s="18"/>
      <c r="E20" s="36" t="s">
        <v>660</v>
      </c>
      <c r="F20" s="32"/>
      <c r="G20" s="10"/>
      <c r="H20" s="19" t="s">
        <v>137</v>
      </c>
      <c r="I20" s="32">
        <v>2</v>
      </c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661</v>
      </c>
      <c r="C21" s="18"/>
      <c r="D21" s="18"/>
      <c r="E21" s="36" t="s">
        <v>434</v>
      </c>
      <c r="F21" s="32"/>
      <c r="G21" s="10"/>
      <c r="H21" s="19" t="s">
        <v>689</v>
      </c>
      <c r="I21" s="32">
        <v>4</v>
      </c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225</v>
      </c>
      <c r="B22" s="18"/>
      <c r="C22" s="18"/>
      <c r="D22" s="18"/>
      <c r="E22" s="36" t="s">
        <v>683</v>
      </c>
      <c r="F22" s="32"/>
      <c r="G22" s="10"/>
      <c r="H22" s="19" t="s">
        <v>690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662</v>
      </c>
      <c r="B23" s="18"/>
      <c r="C23" s="18"/>
      <c r="D23" s="18"/>
      <c r="E23" s="32" t="s">
        <v>250</v>
      </c>
      <c r="F23" s="32"/>
      <c r="G23" s="10"/>
      <c r="H23" s="19" t="s">
        <v>158</v>
      </c>
      <c r="I23" s="32">
        <v>4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663</v>
      </c>
      <c r="B24" s="18"/>
      <c r="C24" s="18"/>
      <c r="D24" s="18"/>
      <c r="E24" s="32" t="s">
        <v>271</v>
      </c>
      <c r="F24" s="32"/>
      <c r="G24" s="10"/>
      <c r="H24" s="19" t="s">
        <v>691</v>
      </c>
      <c r="I24" s="32">
        <v>3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664</v>
      </c>
      <c r="B25" s="18"/>
      <c r="C25" s="18"/>
      <c r="D25" s="18"/>
      <c r="E25" s="32" t="s">
        <v>234</v>
      </c>
      <c r="F25" s="32"/>
      <c r="G25" s="10"/>
      <c r="H25" s="19" t="s">
        <v>128</v>
      </c>
      <c r="I25" s="20">
        <v>1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675</v>
      </c>
      <c r="B26" s="18"/>
      <c r="C26" s="18"/>
      <c r="D26" s="18"/>
      <c r="E26" s="32">
        <v>2</v>
      </c>
      <c r="F26" s="32"/>
      <c r="G26" s="10"/>
      <c r="H26" s="19" t="s">
        <v>692</v>
      </c>
      <c r="I26" s="32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677</v>
      </c>
      <c r="B27" s="18"/>
      <c r="C27" s="18"/>
      <c r="D27" s="18"/>
      <c r="E27" s="32" t="s">
        <v>678</v>
      </c>
      <c r="F27" s="32"/>
      <c r="G27" s="10"/>
      <c r="H27" s="19" t="s">
        <v>150</v>
      </c>
      <c r="I27" s="32">
        <v>1</v>
      </c>
      <c r="J27" s="20">
        <v>1</v>
      </c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680</v>
      </c>
      <c r="B28" s="18"/>
      <c r="C28" s="18"/>
      <c r="D28" s="18"/>
      <c r="E28" s="32" t="s">
        <v>681</v>
      </c>
      <c r="F28" s="36"/>
      <c r="G28" s="10"/>
      <c r="H28" s="19" t="s">
        <v>693</v>
      </c>
      <c r="I28" s="32">
        <v>22</v>
      </c>
      <c r="J28" s="20">
        <v>1</v>
      </c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682</v>
      </c>
      <c r="B29" s="18"/>
      <c r="C29" s="18"/>
      <c r="D29" s="20"/>
      <c r="E29" s="32" t="s">
        <v>359</v>
      </c>
      <c r="F29" s="36"/>
      <c r="G29" s="10"/>
      <c r="H29" s="19" t="s">
        <v>152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694</v>
      </c>
      <c r="I30" s="32">
        <v>12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200</v>
      </c>
      <c r="I31" s="32">
        <v>4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136</v>
      </c>
      <c r="I32" s="32"/>
      <c r="J32" s="20">
        <v>1</v>
      </c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149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695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145</v>
      </c>
      <c r="I35" s="32">
        <v>2</v>
      </c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 t="s">
        <v>696</v>
      </c>
      <c r="I36" s="32">
        <v>1</v>
      </c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9DF0-6156-4E3D-9930-37B7C30EF8E1}">
  <dimension ref="A1:AL1000"/>
  <sheetViews>
    <sheetView tabSelected="1" workbookViewId="0">
      <selection activeCell="J7" sqref="J7"/>
    </sheetView>
  </sheetViews>
  <sheetFormatPr defaultColWidth="12.6328125" defaultRowHeight="12.5"/>
  <cols>
    <col min="1" max="1" width="25.1796875" customWidth="1"/>
    <col min="5" max="5" width="12.6328125" style="39"/>
    <col min="6" max="6" width="12.6328125" style="34"/>
    <col min="7" max="7" width="12.6328125" customWidth="1"/>
    <col min="8" max="8" width="22.54296875" customWidth="1"/>
    <col min="9" max="9" width="12.6328125" style="34"/>
    <col min="11" max="11" width="14.453125" customWidth="1"/>
    <col min="13" max="13" width="21.08984375" customWidth="1"/>
    <col min="15" max="15" width="16.36328125" customWidth="1"/>
    <col min="16" max="16" width="14.1796875" customWidth="1"/>
  </cols>
  <sheetData>
    <row r="1" spans="1:38" ht="39.65" customHeight="1">
      <c r="A1" s="1" t="s">
        <v>647</v>
      </c>
      <c r="B1" s="2" t="s">
        <v>1</v>
      </c>
      <c r="C1" s="2" t="s">
        <v>2</v>
      </c>
      <c r="D1" s="2" t="s">
        <v>3</v>
      </c>
      <c r="E1" s="35" t="s">
        <v>5</v>
      </c>
      <c r="F1" s="35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43" t="s">
        <v>702</v>
      </c>
      <c r="C2" s="43" t="s">
        <v>705</v>
      </c>
      <c r="D2" s="6"/>
      <c r="E2" s="41" t="s">
        <v>704</v>
      </c>
      <c r="F2" s="32"/>
      <c r="G2" s="10"/>
      <c r="H2" s="19" t="s">
        <v>650</v>
      </c>
      <c r="I2" s="32"/>
      <c r="J2" s="18"/>
      <c r="K2" s="20"/>
      <c r="L2" s="10"/>
      <c r="M2" s="21" t="s">
        <v>630</v>
      </c>
      <c r="N2" s="48"/>
      <c r="O2" s="23">
        <v>2</v>
      </c>
      <c r="P2" s="49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53" t="s">
        <v>703</v>
      </c>
      <c r="C3" s="18"/>
      <c r="D3" s="6"/>
      <c r="E3" s="36"/>
      <c r="F3" s="36"/>
      <c r="G3" s="10"/>
      <c r="H3" t="s">
        <v>651</v>
      </c>
      <c r="I3" s="32"/>
      <c r="J3" s="20"/>
      <c r="K3" s="18"/>
      <c r="L3" s="10"/>
      <c r="M3" s="21" t="s">
        <v>632</v>
      </c>
      <c r="N3" s="22"/>
      <c r="O3" s="23">
        <v>3</v>
      </c>
      <c r="P3" s="49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52" t="s">
        <v>648</v>
      </c>
      <c r="B4" s="54"/>
      <c r="C4" s="18"/>
      <c r="D4" s="20"/>
      <c r="E4" s="36" t="s">
        <v>706</v>
      </c>
      <c r="F4" s="32"/>
      <c r="G4" s="10"/>
      <c r="H4" s="19" t="s">
        <v>147</v>
      </c>
      <c r="I4" s="32">
        <v>1</v>
      </c>
      <c r="J4" s="20"/>
      <c r="K4" s="18"/>
      <c r="L4" s="10"/>
      <c r="M4" s="21" t="s">
        <v>634</v>
      </c>
      <c r="N4" s="22"/>
      <c r="O4" s="23"/>
      <c r="P4" s="49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649</v>
      </c>
      <c r="B5" s="18"/>
      <c r="C5" s="18"/>
      <c r="D5" s="20"/>
      <c r="E5" s="36" t="s">
        <v>706</v>
      </c>
      <c r="F5" s="32"/>
      <c r="G5" s="10"/>
      <c r="H5" s="19" t="s">
        <v>102</v>
      </c>
      <c r="I5" s="32"/>
      <c r="J5" s="18"/>
      <c r="K5" s="18"/>
      <c r="L5" s="10"/>
      <c r="M5" s="21" t="s">
        <v>636</v>
      </c>
      <c r="N5" s="22"/>
      <c r="O5" s="23"/>
      <c r="P5" s="49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610</v>
      </c>
      <c r="B6" s="18"/>
      <c r="C6" s="18"/>
      <c r="D6" s="20"/>
      <c r="E6" s="36" t="s">
        <v>706</v>
      </c>
      <c r="F6" s="32"/>
      <c r="G6" s="10"/>
      <c r="H6" s="19" t="s">
        <v>123</v>
      </c>
      <c r="I6" s="32"/>
      <c r="J6" s="18"/>
      <c r="K6" s="18"/>
      <c r="L6" s="10"/>
      <c r="M6" s="21" t="s">
        <v>415</v>
      </c>
      <c r="N6" s="22"/>
      <c r="O6" s="42"/>
      <c r="P6" s="49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/>
      <c r="B7" s="18"/>
      <c r="C7" s="18"/>
      <c r="D7" s="18"/>
      <c r="E7" s="36"/>
      <c r="F7" s="32"/>
      <c r="G7" s="10"/>
      <c r="H7" s="19" t="s">
        <v>105</v>
      </c>
      <c r="I7" s="32"/>
      <c r="J7" s="20"/>
      <c r="K7" s="18"/>
      <c r="L7" s="10"/>
      <c r="M7" s="21" t="s">
        <v>699</v>
      </c>
      <c r="N7" s="22"/>
      <c r="O7" s="42"/>
      <c r="P7" s="50"/>
      <c r="Q7" s="44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/>
      <c r="B8" s="18"/>
      <c r="C8" s="18"/>
      <c r="D8" s="18"/>
      <c r="E8" s="36"/>
      <c r="F8" s="32"/>
      <c r="G8" s="10"/>
      <c r="H8" s="19" t="s">
        <v>141</v>
      </c>
      <c r="I8" s="32">
        <v>1</v>
      </c>
      <c r="J8" s="20"/>
      <c r="K8" s="18"/>
      <c r="L8" s="10"/>
      <c r="M8" s="21" t="s">
        <v>700</v>
      </c>
      <c r="N8" s="22"/>
      <c r="O8" s="42"/>
      <c r="P8" s="50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/>
      <c r="B9" s="18"/>
      <c r="C9" s="18"/>
      <c r="D9" s="20"/>
      <c r="E9" s="36"/>
      <c r="F9" s="32"/>
      <c r="G9" s="10"/>
      <c r="H9" s="19" t="s">
        <v>665</v>
      </c>
      <c r="I9" s="32"/>
      <c r="J9" s="18"/>
      <c r="K9" s="18"/>
      <c r="L9" s="10"/>
      <c r="M9" s="21"/>
      <c r="N9" s="22"/>
      <c r="O9" s="42"/>
      <c r="P9" s="50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/>
      <c r="B10" s="18"/>
      <c r="C10" s="18"/>
      <c r="D10" s="18"/>
      <c r="E10" s="36"/>
      <c r="F10" s="32"/>
      <c r="G10" s="10"/>
      <c r="H10" s="19" t="s">
        <v>666</v>
      </c>
      <c r="I10" s="32"/>
      <c r="J10" s="18"/>
      <c r="K10" s="18"/>
      <c r="L10" s="10"/>
      <c r="M10" s="28"/>
      <c r="N10" s="22"/>
      <c r="O10" s="42"/>
      <c r="P10" s="50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/>
      <c r="B11" s="18"/>
      <c r="C11" s="18"/>
      <c r="D11" s="20"/>
      <c r="E11" s="36"/>
      <c r="F11" s="32"/>
      <c r="G11" s="10"/>
      <c r="H11" s="19" t="s">
        <v>667</v>
      </c>
      <c r="I11" s="32"/>
      <c r="J11" s="18"/>
      <c r="K11" s="18"/>
      <c r="L11" s="10"/>
      <c r="M11" s="21"/>
      <c r="N11" s="48"/>
      <c r="O11" s="42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/>
      <c r="B12" s="18"/>
      <c r="C12" s="18"/>
      <c r="D12" s="20"/>
      <c r="E12" s="36"/>
      <c r="F12" s="32"/>
      <c r="G12" s="10"/>
      <c r="H12" s="19" t="s">
        <v>668</v>
      </c>
      <c r="I12" s="32"/>
      <c r="J12" s="32"/>
      <c r="K12" s="18"/>
      <c r="L12" s="10"/>
      <c r="M12" s="21"/>
      <c r="N12" s="51"/>
      <c r="O12" s="42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/>
      <c r="B13" s="18"/>
      <c r="C13" s="18"/>
      <c r="D13" s="18"/>
      <c r="E13" s="36"/>
      <c r="F13" s="32"/>
      <c r="G13" s="10"/>
      <c r="H13" s="19" t="s">
        <v>669</v>
      </c>
      <c r="I13" s="32"/>
      <c r="J13" s="18"/>
      <c r="K13" s="18"/>
      <c r="L13" s="10"/>
      <c r="M13" s="21"/>
      <c r="N13" s="22"/>
      <c r="O13" s="42"/>
      <c r="P13" s="27"/>
      <c r="Q13" s="4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32"/>
      <c r="G14" s="10"/>
      <c r="H14" s="19" t="s">
        <v>670</v>
      </c>
      <c r="I14" s="32"/>
      <c r="J14" s="18"/>
      <c r="K14" s="18"/>
      <c r="L14" s="10"/>
      <c r="M14" s="21"/>
      <c r="N14" s="22"/>
      <c r="O14" s="42"/>
      <c r="P14" s="27"/>
      <c r="Q14" s="46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32"/>
      <c r="G15" s="10"/>
      <c r="H15" s="19" t="s">
        <v>671</v>
      </c>
      <c r="I15" s="32"/>
      <c r="J15" s="18"/>
      <c r="K15" s="18"/>
      <c r="L15" s="10"/>
      <c r="M15" s="21"/>
      <c r="N15" s="22"/>
      <c r="O15" s="42"/>
      <c r="P15" s="27"/>
      <c r="Q15" s="4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32"/>
      <c r="G16" s="10"/>
      <c r="H16" s="19" t="s">
        <v>672</v>
      </c>
      <c r="I16" s="32"/>
      <c r="J16" s="20"/>
      <c r="K16" s="18"/>
      <c r="L16" s="10"/>
      <c r="M16" s="21"/>
      <c r="N16" s="22"/>
      <c r="O16" s="42"/>
      <c r="P16" s="27"/>
      <c r="Q16" s="4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6"/>
      <c r="C17" s="18"/>
      <c r="D17" s="18"/>
      <c r="E17" s="36"/>
      <c r="F17" s="32"/>
      <c r="G17" s="10"/>
      <c r="H17" s="19" t="s">
        <v>673</v>
      </c>
      <c r="I17" s="32"/>
      <c r="J17" s="18"/>
      <c r="K17" s="18"/>
      <c r="L17" s="10"/>
      <c r="M17" s="21"/>
      <c r="N17" s="22"/>
      <c r="O17" s="42"/>
      <c r="P17" s="27"/>
      <c r="Q17" s="4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18"/>
      <c r="C18" s="18"/>
      <c r="D18" s="6"/>
      <c r="E18" s="36"/>
      <c r="F18" s="32"/>
      <c r="G18" s="10"/>
      <c r="H18" s="19" t="s">
        <v>674</v>
      </c>
      <c r="I18" s="32"/>
      <c r="J18" s="18"/>
      <c r="K18" s="18"/>
      <c r="L18" s="10"/>
      <c r="M18" s="21"/>
      <c r="N18" s="22"/>
      <c r="O18" s="42"/>
      <c r="P18" s="27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18"/>
      <c r="C19" s="18"/>
      <c r="D19" s="6"/>
      <c r="E19" s="36"/>
      <c r="F19" s="32"/>
      <c r="G19" s="10"/>
      <c r="H19" s="19" t="s">
        <v>685</v>
      </c>
      <c r="I19" s="32"/>
      <c r="J19" s="20"/>
      <c r="K19" s="18"/>
      <c r="L19" s="10"/>
      <c r="M19" s="19"/>
      <c r="N19" s="22"/>
      <c r="O19" s="42"/>
      <c r="P19" s="24"/>
      <c r="Q19" s="4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18"/>
      <c r="E20" s="36"/>
      <c r="F20" s="32"/>
      <c r="G20" s="10"/>
      <c r="H20" s="19" t="s">
        <v>137</v>
      </c>
      <c r="I20" s="32"/>
      <c r="J20" s="18"/>
      <c r="K20" s="18"/>
      <c r="L20" s="10"/>
      <c r="M20" s="19"/>
      <c r="N20" s="22"/>
      <c r="O20" s="42"/>
      <c r="P20" s="24"/>
      <c r="Q20" s="4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C21" s="18"/>
      <c r="D21" s="18"/>
      <c r="E21" s="36"/>
      <c r="F21" s="32"/>
      <c r="G21" s="10"/>
      <c r="H21" s="19" t="s">
        <v>689</v>
      </c>
      <c r="I21" s="32"/>
      <c r="J21" s="20"/>
      <c r="K21" s="18"/>
      <c r="L21" s="10"/>
      <c r="M21" s="19"/>
      <c r="N21" s="22"/>
      <c r="O21" s="42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32"/>
      <c r="G22" s="10"/>
      <c r="H22" s="19" t="s">
        <v>690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32"/>
      <c r="G23" s="10"/>
      <c r="H23" s="19" t="s">
        <v>158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32"/>
      <c r="G24" s="10"/>
      <c r="H24" s="19" t="s">
        <v>691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32"/>
      <c r="G25" s="10"/>
      <c r="H25" s="19" t="s">
        <v>128</v>
      </c>
      <c r="I25" s="20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32"/>
      <c r="G26" s="10"/>
      <c r="H26" s="19" t="s">
        <v>692</v>
      </c>
      <c r="I26" s="32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32"/>
      <c r="G27" s="10"/>
      <c r="H27" s="19" t="s">
        <v>150</v>
      </c>
      <c r="I27" s="32"/>
      <c r="J27" s="20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36"/>
      <c r="G28" s="10"/>
      <c r="H28" s="19" t="s">
        <v>693</v>
      </c>
      <c r="I28" s="32">
        <v>1</v>
      </c>
      <c r="J28" s="20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20"/>
      <c r="E29" s="32"/>
      <c r="F29" s="36"/>
      <c r="G29" s="10"/>
      <c r="H29" s="19" t="s">
        <v>152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36"/>
      <c r="G30" s="10"/>
      <c r="H30" s="19" t="s">
        <v>694</v>
      </c>
      <c r="I30" s="32">
        <v>2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2"/>
      <c r="F31" s="36"/>
      <c r="G31" s="10"/>
      <c r="H31" s="19" t="s">
        <v>200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2"/>
      <c r="F32" s="36"/>
      <c r="G32" s="10"/>
      <c r="H32" s="19" t="s">
        <v>136</v>
      </c>
      <c r="I32" s="32"/>
      <c r="J32" s="20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36"/>
      <c r="G33" s="10"/>
      <c r="H33" s="19" t="s">
        <v>149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2"/>
      <c r="F34" s="36"/>
      <c r="G34" s="10"/>
      <c r="H34" s="19" t="s">
        <v>695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2"/>
      <c r="F35" s="36"/>
      <c r="G35" s="10"/>
      <c r="H35" s="19" t="s">
        <v>145</v>
      </c>
      <c r="I35" s="32"/>
      <c r="J35" s="20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32"/>
      <c r="G36" s="10"/>
      <c r="H36" s="19" t="s">
        <v>696</v>
      </c>
      <c r="I36" s="32"/>
      <c r="J36" s="20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2"/>
      <c r="F37" s="32"/>
      <c r="G37" s="10"/>
      <c r="H37" s="19"/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32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32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32"/>
      <c r="G40" s="10"/>
      <c r="H40" s="19"/>
      <c r="I40" s="32"/>
      <c r="J40" s="20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32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32"/>
      <c r="G42" s="10"/>
      <c r="H42" s="19"/>
      <c r="I42" s="32"/>
      <c r="J42" s="20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32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32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32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3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3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32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32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32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32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32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32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32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32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32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32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32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32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32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32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32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33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33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33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33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33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33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33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33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33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33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33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33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33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33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33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33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33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33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33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33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33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33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33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33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33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33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33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33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33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33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33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33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33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33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33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33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33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33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33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33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33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33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33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33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33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33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33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33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33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33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33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33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33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33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33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33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33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33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33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33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33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33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33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33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33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33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33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33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33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33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33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33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33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33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33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33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33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33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33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33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33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33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33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33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33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33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33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33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33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33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33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33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33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33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33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33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33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33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33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33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33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33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33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33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33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33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33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33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33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33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33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33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33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33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33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33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33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33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33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33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33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33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33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33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33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33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33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33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33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33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33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33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33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33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33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33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33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33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33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33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33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33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33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33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33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33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33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33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33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33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33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33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33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33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33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33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33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33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33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33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33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33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33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33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33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33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33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33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33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33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33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33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33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33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33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33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33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33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33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33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33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33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33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33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33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33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33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33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33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33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33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33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33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33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33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33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33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33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33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33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33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33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33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33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33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33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33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33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33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33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33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33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33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33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33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33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33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33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33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33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33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33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33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33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33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33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33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33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33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33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33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33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33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33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33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33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33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33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33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33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33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33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33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33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33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33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33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33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33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33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33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33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33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33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33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33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33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33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33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33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33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33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33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33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33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33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33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33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33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33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33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33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33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33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33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33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33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33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33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33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33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33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33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33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33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33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33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33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33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33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33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33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33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33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33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33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33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33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33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33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33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33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33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33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33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33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33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33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33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33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33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33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33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33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33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33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33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33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33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33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33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33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33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33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33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33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33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33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33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33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33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33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33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33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33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33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33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33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33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33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33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33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33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33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33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33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33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33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33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33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33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33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33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33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33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33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33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33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33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33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33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33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33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33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33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33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33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33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33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33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33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33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33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33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33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33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33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33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33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33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33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33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33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33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33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33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33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33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33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33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33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33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33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33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33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33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33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33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33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33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33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33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33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33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33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33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33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33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33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33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33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33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33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33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33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33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33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33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33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33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33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33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33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33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33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33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33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33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33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33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33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33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33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33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33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33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33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33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33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33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33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33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33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33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33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33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33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33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33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33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33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33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33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33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33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33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33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33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33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33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33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33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33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33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33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33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33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33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33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33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33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33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33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33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33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33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33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33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33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33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33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33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33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33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33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33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33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33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33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33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33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33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33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33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33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33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33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33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33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33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33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33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33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33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33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33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33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33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33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33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33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33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33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33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33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33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33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33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33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33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33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33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33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33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33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33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33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33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33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33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33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33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33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33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33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33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33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33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33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33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33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33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33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33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33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33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33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33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33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33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33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33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33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33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33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33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33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33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33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33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33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33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33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33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33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33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33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33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33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33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33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33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33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33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33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33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33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33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33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33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33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33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33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33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33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33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33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33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33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33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33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33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33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33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33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33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33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33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33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33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33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33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33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33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33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33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33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33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33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33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33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33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33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33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33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33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33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33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33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33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33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33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33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33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33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33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33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33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33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33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33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33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33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33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33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33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33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33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33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33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33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33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33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33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33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33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33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33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33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33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33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33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33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33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33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33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33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33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33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33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33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33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33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33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33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33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33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33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33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33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33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33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33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33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33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33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33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33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33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33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33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33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33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33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33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33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33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33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33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33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33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33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33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33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33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33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33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33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33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33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33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33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33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33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33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33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33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33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33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33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33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33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33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33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33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33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33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33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33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33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33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33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33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33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33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33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33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33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33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33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33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33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33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33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33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33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33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33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33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33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33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33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33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33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33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33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33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33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33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33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33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33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33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33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33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33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33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33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33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33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33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33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33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33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33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33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33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33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33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33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33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33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33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33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33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33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33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33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33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33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33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33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33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33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33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33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33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33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33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33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33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33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33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33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33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33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33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33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33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33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33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33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33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33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33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33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33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33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33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33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33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33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33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33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33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33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33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33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33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33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33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33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33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33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33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33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33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33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33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33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33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33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33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33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33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33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33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33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33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33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33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33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33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33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33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33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33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33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33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33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33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33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33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33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33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33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33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33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33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33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33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33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33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33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33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33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33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33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33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33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33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33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33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33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33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33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33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33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33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33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33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33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33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33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33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33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33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33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33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33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33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33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33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33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33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33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33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33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33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33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33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33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33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33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33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33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33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33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33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33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33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33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33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33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33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33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33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33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33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33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33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33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33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33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33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33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33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33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33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33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33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33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33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33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33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33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L1000"/>
  <sheetViews>
    <sheetView workbookViewId="0">
      <pane ySplit="1" topLeftCell="A2" activePane="bottomLeft" state="frozen"/>
      <selection pane="bottomLeft" activeCell="B22" sqref="B22"/>
    </sheetView>
  </sheetViews>
  <sheetFormatPr defaultColWidth="12.6328125" defaultRowHeight="15.75" customHeight="1"/>
  <cols>
    <col min="1" max="1" width="21.90625" customWidth="1"/>
    <col min="8" max="8" width="20.08984375" customWidth="1"/>
    <col min="13" max="13" width="16.453125" customWidth="1"/>
  </cols>
  <sheetData>
    <row r="1" spans="1:3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10"/>
      <c r="H1" s="11" t="s">
        <v>86</v>
      </c>
      <c r="I1" s="12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7</v>
      </c>
      <c r="B2" s="6">
        <f>162+144+126+108+180+18+144+126+144+108+144+180+108+108+108+162+144+108+180+54+144+162+144+126</f>
        <v>3132</v>
      </c>
      <c r="C2" s="17">
        <f>252+216+216+198+180+198+288+144+234+198+198+342+252+288+342+324+252+252+324+234+270+180+198+270+288</f>
        <v>6138</v>
      </c>
      <c r="D2" s="6"/>
      <c r="E2" s="6">
        <f>54+54+54+54+54+80+54+54+54+54+54+54+54+54+54+54+54+54+54+54+54+54+54+54+54</f>
        <v>1376</v>
      </c>
      <c r="F2" s="18"/>
      <c r="G2" s="10"/>
      <c r="H2" s="19" t="s">
        <v>95</v>
      </c>
      <c r="I2" s="20">
        <v>2</v>
      </c>
      <c r="J2" s="18"/>
      <c r="K2" s="20"/>
      <c r="L2" s="10"/>
      <c r="M2" s="21" t="s">
        <v>96</v>
      </c>
      <c r="N2" s="22"/>
      <c r="O2" s="23"/>
      <c r="P2" s="24"/>
      <c r="Q2" s="25" t="s">
        <v>97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8</v>
      </c>
      <c r="B3" s="6">
        <f>126+106+54+72+126+126+162+108+90+72+90+72+144+108+36+144+54+108+126+108+162+54+126+108+198+108+54+162+108</f>
        <v>3112</v>
      </c>
      <c r="C3" s="18">
        <f>72+108</f>
        <v>180</v>
      </c>
      <c r="D3" s="6"/>
      <c r="E3" s="6">
        <f>54+54+54+54+54</f>
        <v>270</v>
      </c>
      <c r="F3" s="6"/>
      <c r="G3" s="10"/>
      <c r="H3" s="19" t="s">
        <v>98</v>
      </c>
      <c r="I3" s="18">
        <v>13</v>
      </c>
      <c r="J3" s="20"/>
      <c r="K3" s="18"/>
      <c r="L3" s="10"/>
      <c r="M3" s="21" t="s">
        <v>99</v>
      </c>
      <c r="N3" s="22"/>
      <c r="O3" s="23">
        <f>260+240+120+365+150+150+280</f>
        <v>1565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27</v>
      </c>
      <c r="B4" s="18"/>
      <c r="C4" s="18"/>
      <c r="D4" s="18">
        <v>30</v>
      </c>
      <c r="E4" s="6">
        <f>70+70</f>
        <v>140</v>
      </c>
      <c r="F4" s="18"/>
      <c r="G4" s="10"/>
      <c r="H4" s="19" t="s">
        <v>100</v>
      </c>
      <c r="I4" s="18">
        <v>4</v>
      </c>
      <c r="J4" s="20"/>
      <c r="K4" s="18"/>
      <c r="L4" s="10"/>
      <c r="M4" s="21" t="s">
        <v>101</v>
      </c>
      <c r="N4" s="22"/>
      <c r="O4" s="23">
        <v>6</v>
      </c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80</v>
      </c>
      <c r="B5" s="18"/>
      <c r="C5" s="18"/>
      <c r="D5" s="18"/>
      <c r="E5" s="6">
        <f>300</f>
        <v>300</v>
      </c>
      <c r="F5" s="18"/>
      <c r="G5" s="10"/>
      <c r="H5" s="19" t="s">
        <v>102</v>
      </c>
      <c r="I5" s="20">
        <v>5</v>
      </c>
      <c r="J5" s="18"/>
      <c r="K5" s="18"/>
      <c r="L5" s="10"/>
      <c r="M5" s="21" t="s">
        <v>103</v>
      </c>
      <c r="N5" s="22"/>
      <c r="O5" s="23">
        <f>50</f>
        <v>50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104</v>
      </c>
      <c r="B6" s="18"/>
      <c r="C6" s="18"/>
      <c r="D6" s="18"/>
      <c r="E6" s="6"/>
      <c r="F6" s="18">
        <v>1</v>
      </c>
      <c r="G6" s="10"/>
      <c r="H6" s="19" t="s">
        <v>105</v>
      </c>
      <c r="I6" s="20">
        <v>2</v>
      </c>
      <c r="J6" s="18"/>
      <c r="K6" s="18"/>
      <c r="L6" s="10"/>
      <c r="M6" s="21" t="s">
        <v>106</v>
      </c>
      <c r="N6" s="22"/>
      <c r="O6" s="23">
        <v>2</v>
      </c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63</v>
      </c>
      <c r="B7" s="18"/>
      <c r="C7" s="18"/>
      <c r="D7" s="18"/>
      <c r="E7" s="6"/>
      <c r="F7" s="18">
        <v>1</v>
      </c>
      <c r="G7" s="10"/>
      <c r="H7" s="19" t="s">
        <v>107</v>
      </c>
      <c r="I7" s="20">
        <v>3</v>
      </c>
      <c r="J7" s="18"/>
      <c r="K7" s="18"/>
      <c r="L7" s="10"/>
      <c r="M7" s="21" t="s">
        <v>108</v>
      </c>
      <c r="N7" s="22"/>
      <c r="O7" s="26"/>
      <c r="P7" s="27">
        <v>1</v>
      </c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109</v>
      </c>
      <c r="B8" s="18"/>
      <c r="C8" s="18"/>
      <c r="D8" s="18"/>
      <c r="E8" s="6"/>
      <c r="F8" s="18">
        <v>1</v>
      </c>
      <c r="G8" s="10"/>
      <c r="H8" s="19" t="s">
        <v>110</v>
      </c>
      <c r="I8" s="20">
        <v>1</v>
      </c>
      <c r="J8" s="18"/>
      <c r="K8" s="18"/>
      <c r="L8" s="10"/>
      <c r="M8" s="21" t="s">
        <v>111</v>
      </c>
      <c r="N8" s="22"/>
      <c r="O8" s="26"/>
      <c r="P8" s="27">
        <v>1</v>
      </c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112</v>
      </c>
      <c r="B9" s="18">
        <v>1</v>
      </c>
      <c r="C9" s="18"/>
      <c r="D9" s="18"/>
      <c r="E9" s="6"/>
      <c r="F9" s="18"/>
      <c r="G9" s="10"/>
      <c r="H9" s="19" t="s">
        <v>113</v>
      </c>
      <c r="I9" s="20">
        <v>4</v>
      </c>
      <c r="J9" s="18"/>
      <c r="K9" s="18"/>
      <c r="L9" s="10"/>
      <c r="M9" s="21" t="s">
        <v>114</v>
      </c>
      <c r="N9" s="22"/>
      <c r="O9" s="26"/>
      <c r="P9" s="27">
        <v>1</v>
      </c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115</v>
      </c>
      <c r="B10" s="18"/>
      <c r="C10" s="18"/>
      <c r="D10" s="18"/>
      <c r="E10" s="6">
        <v>10</v>
      </c>
      <c r="F10" s="18"/>
      <c r="G10" s="10"/>
      <c r="H10" s="19" t="s">
        <v>116</v>
      </c>
      <c r="I10" s="20">
        <v>3</v>
      </c>
      <c r="J10" s="18"/>
      <c r="K10" s="18"/>
      <c r="L10" s="10"/>
      <c r="M10" s="28" t="s">
        <v>117</v>
      </c>
      <c r="N10" s="22"/>
      <c r="O10" s="26"/>
      <c r="P10" s="27">
        <v>1</v>
      </c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118</v>
      </c>
      <c r="B11" s="18"/>
      <c r="C11" s="18"/>
      <c r="D11" s="18"/>
      <c r="E11" s="6">
        <v>10</v>
      </c>
      <c r="F11" s="18"/>
      <c r="G11" s="10"/>
      <c r="H11" s="19" t="s">
        <v>119</v>
      </c>
      <c r="I11" s="20">
        <v>7</v>
      </c>
      <c r="J11" s="18"/>
      <c r="K11" s="18"/>
      <c r="L11" s="10"/>
      <c r="M11" s="21" t="s">
        <v>120</v>
      </c>
      <c r="N11" s="22"/>
      <c r="O11" s="26"/>
      <c r="P11" s="27">
        <v>1</v>
      </c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29</v>
      </c>
      <c r="B12" s="18"/>
      <c r="C12" s="18"/>
      <c r="D12" s="18"/>
      <c r="E12" s="6">
        <v>9</v>
      </c>
      <c r="F12" s="18"/>
      <c r="G12" s="10"/>
      <c r="H12" s="19" t="s">
        <v>121</v>
      </c>
      <c r="I12" s="20">
        <v>7</v>
      </c>
      <c r="J12" s="18"/>
      <c r="K12" s="18"/>
      <c r="L12" s="10"/>
      <c r="M12" s="21" t="s">
        <v>122</v>
      </c>
      <c r="N12" s="22"/>
      <c r="O12" s="26"/>
      <c r="P12" s="27">
        <v>1</v>
      </c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84</v>
      </c>
      <c r="B13" s="18"/>
      <c r="C13" s="18"/>
      <c r="D13" s="18"/>
      <c r="E13" s="6">
        <f>175+62+75+67+85+85</f>
        <v>549</v>
      </c>
      <c r="F13" s="18"/>
      <c r="G13" s="10"/>
      <c r="H13" s="19" t="s">
        <v>123</v>
      </c>
      <c r="I13" s="20">
        <v>3</v>
      </c>
      <c r="J13" s="18"/>
      <c r="K13" s="18"/>
      <c r="L13" s="10"/>
      <c r="M13" s="21" t="s">
        <v>124</v>
      </c>
      <c r="N13" s="22"/>
      <c r="O13" s="26"/>
      <c r="P13" s="27"/>
      <c r="Q13" s="25">
        <v>120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125</v>
      </c>
      <c r="B14" s="18"/>
      <c r="C14" s="18"/>
      <c r="D14" s="18"/>
      <c r="E14" s="6">
        <f>125+92+115</f>
        <v>332</v>
      </c>
      <c r="F14" s="18"/>
      <c r="G14" s="10"/>
      <c r="H14" s="19" t="s">
        <v>126</v>
      </c>
      <c r="I14" s="20">
        <v>3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127</v>
      </c>
      <c r="B15" s="18"/>
      <c r="C15" s="18"/>
      <c r="D15" s="6"/>
      <c r="E15" s="6">
        <f>330+1138</f>
        <v>1468</v>
      </c>
      <c r="F15" s="18"/>
      <c r="G15" s="10"/>
      <c r="H15" s="19" t="s">
        <v>128</v>
      </c>
      <c r="I15" s="20">
        <v>4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129</v>
      </c>
      <c r="B16" s="18"/>
      <c r="C16" s="18"/>
      <c r="D16" s="18"/>
      <c r="E16" s="6"/>
      <c r="F16" s="18">
        <v>1</v>
      </c>
      <c r="G16" s="10"/>
      <c r="H16" s="19" t="s">
        <v>130</v>
      </c>
      <c r="I16" s="20">
        <v>2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131</v>
      </c>
      <c r="B17" s="18"/>
      <c r="C17" s="18"/>
      <c r="D17" s="18"/>
      <c r="E17" s="6"/>
      <c r="F17" s="18">
        <v>1</v>
      </c>
      <c r="G17" s="10"/>
      <c r="H17" s="19" t="s">
        <v>132</v>
      </c>
      <c r="I17" s="20">
        <v>4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133</v>
      </c>
      <c r="B18" s="6"/>
      <c r="C18" s="18"/>
      <c r="D18" s="18"/>
      <c r="E18" s="6"/>
      <c r="F18" s="18">
        <v>1</v>
      </c>
      <c r="G18" s="10"/>
      <c r="H18" s="19" t="s">
        <v>134</v>
      </c>
      <c r="I18" s="20">
        <v>4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135</v>
      </c>
      <c r="B19" s="6"/>
      <c r="C19" s="18"/>
      <c r="D19" s="18"/>
      <c r="E19" s="18"/>
      <c r="F19" s="18">
        <v>1</v>
      </c>
      <c r="G19" s="10"/>
      <c r="H19" s="19" t="s">
        <v>136</v>
      </c>
      <c r="I19" s="20">
        <v>4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11</v>
      </c>
      <c r="B20" s="18"/>
      <c r="C20" s="18"/>
      <c r="D20" s="6"/>
      <c r="E20" s="18"/>
      <c r="F20" s="18"/>
      <c r="G20" s="10"/>
      <c r="H20" s="19" t="s">
        <v>137</v>
      </c>
      <c r="I20" s="20">
        <v>2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138</v>
      </c>
      <c r="B21" s="18"/>
      <c r="C21" s="18"/>
      <c r="D21" s="6"/>
      <c r="E21" s="6">
        <f>68+383</f>
        <v>451</v>
      </c>
      <c r="F21" s="18"/>
      <c r="G21" s="10"/>
      <c r="H21" s="19" t="s">
        <v>139</v>
      </c>
      <c r="I21" s="20">
        <v>4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140</v>
      </c>
      <c r="B22" s="18"/>
      <c r="C22" s="18"/>
      <c r="D22" s="18"/>
      <c r="E22" s="6">
        <f>79</f>
        <v>79</v>
      </c>
      <c r="F22" s="18"/>
      <c r="G22" s="10"/>
      <c r="H22" s="19" t="s">
        <v>141</v>
      </c>
      <c r="I22" s="20">
        <v>6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142</v>
      </c>
      <c r="B23" s="18"/>
      <c r="C23" s="18"/>
      <c r="D23" s="18"/>
      <c r="E23" s="18">
        <v>1</v>
      </c>
      <c r="F23" s="6"/>
      <c r="G23" s="10"/>
      <c r="H23" s="19" t="s">
        <v>105</v>
      </c>
      <c r="I23" s="20">
        <v>4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143</v>
      </c>
      <c r="B24" s="18"/>
      <c r="C24" s="18"/>
      <c r="D24" s="18">
        <v>1</v>
      </c>
      <c r="E24" s="18">
        <v>6</v>
      </c>
      <c r="F24" s="6"/>
      <c r="G24" s="10"/>
      <c r="H24" s="19" t="s">
        <v>144</v>
      </c>
      <c r="I24" s="20">
        <v>1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70</v>
      </c>
      <c r="B25" s="18"/>
      <c r="C25" s="18"/>
      <c r="D25" s="18"/>
      <c r="E25" s="18">
        <v>6</v>
      </c>
      <c r="F25" s="6"/>
      <c r="G25" s="10"/>
      <c r="H25" s="19" t="s">
        <v>145</v>
      </c>
      <c r="I25" s="20">
        <v>3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146</v>
      </c>
      <c r="B26" s="18"/>
      <c r="C26" s="18"/>
      <c r="D26" s="18"/>
      <c r="E26" s="18">
        <f>150+300+217</f>
        <v>667</v>
      </c>
      <c r="F26" s="6"/>
      <c r="G26" s="10"/>
      <c r="H26" s="19" t="s">
        <v>147</v>
      </c>
      <c r="I26" s="20">
        <v>26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30" t="s">
        <v>148</v>
      </c>
      <c r="B27" s="18">
        <f>126+90+108+144+144+72</f>
        <v>684</v>
      </c>
      <c r="C27" s="18">
        <f>262+288+342+216+288</f>
        <v>1396</v>
      </c>
      <c r="D27" s="18"/>
      <c r="E27" s="18">
        <f>60+54</f>
        <v>114</v>
      </c>
      <c r="F27" s="6"/>
      <c r="G27" s="10"/>
      <c r="H27" s="19" t="s">
        <v>149</v>
      </c>
      <c r="I27" s="20">
        <v>1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34</v>
      </c>
      <c r="B28" s="18"/>
      <c r="C28" s="18"/>
      <c r="D28" s="18">
        <f>198</f>
        <v>198</v>
      </c>
      <c r="E28" s="18">
        <f>163+95.7+90.5+141+175</f>
        <v>665.2</v>
      </c>
      <c r="F28" s="6"/>
      <c r="G28" s="10"/>
      <c r="H28" s="19" t="s">
        <v>150</v>
      </c>
      <c r="I28" s="20">
        <v>2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151</v>
      </c>
      <c r="B29" s="18">
        <v>1</v>
      </c>
      <c r="C29" s="18"/>
      <c r="D29" s="18"/>
      <c r="E29" s="18"/>
      <c r="F29" s="6"/>
      <c r="G29" s="10"/>
      <c r="H29" s="19" t="s">
        <v>152</v>
      </c>
      <c r="I29" s="20">
        <v>2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 t="s">
        <v>153</v>
      </c>
      <c r="B30" s="18">
        <v>18</v>
      </c>
      <c r="C30" s="18"/>
      <c r="D30" s="18"/>
      <c r="E30" s="18"/>
      <c r="F30" s="6"/>
      <c r="G30" s="10"/>
      <c r="H30" s="19" t="s">
        <v>154</v>
      </c>
      <c r="I30" s="20">
        <v>2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 t="s">
        <v>155</v>
      </c>
      <c r="B31" s="18">
        <v>18</v>
      </c>
      <c r="C31" s="18"/>
      <c r="D31" s="18"/>
      <c r="E31" s="18"/>
      <c r="F31" s="6"/>
      <c r="G31" s="10"/>
      <c r="H31" s="19" t="s">
        <v>156</v>
      </c>
      <c r="I31" s="20">
        <v>15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 t="s">
        <v>157</v>
      </c>
      <c r="B32" s="18"/>
      <c r="C32" s="18"/>
      <c r="D32" s="18"/>
      <c r="E32" s="18">
        <f>250+194+150+200</f>
        <v>794</v>
      </c>
      <c r="F32" s="6"/>
      <c r="G32" s="10"/>
      <c r="H32" s="19" t="s">
        <v>158</v>
      </c>
      <c r="I32" s="18">
        <v>4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 t="s">
        <v>101</v>
      </c>
      <c r="B33" s="18"/>
      <c r="C33" s="18"/>
      <c r="D33" s="18"/>
      <c r="E33" s="6">
        <f>160</f>
        <v>160</v>
      </c>
      <c r="F33" s="6"/>
      <c r="G33" s="10"/>
      <c r="H33" s="19"/>
      <c r="I33" s="18">
        <v>147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 t="s">
        <v>69</v>
      </c>
      <c r="B34" s="18"/>
      <c r="C34" s="18"/>
      <c r="D34" s="18"/>
      <c r="E34" s="18">
        <f>60+60+124+88</f>
        <v>332</v>
      </c>
      <c r="F34" s="6"/>
      <c r="G34" s="10"/>
      <c r="H34" s="19"/>
      <c r="I34" s="18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 t="s">
        <v>14</v>
      </c>
      <c r="B35" s="18"/>
      <c r="C35" s="18"/>
      <c r="D35" s="18"/>
      <c r="E35" s="18">
        <v>4</v>
      </c>
      <c r="F35" s="6"/>
      <c r="G35" s="10"/>
      <c r="H35" s="19"/>
      <c r="I35" s="18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 t="s">
        <v>159</v>
      </c>
      <c r="B36" s="18"/>
      <c r="C36" s="18"/>
      <c r="D36" s="18"/>
      <c r="E36" s="6"/>
      <c r="F36" s="18">
        <v>1</v>
      </c>
      <c r="G36" s="10"/>
      <c r="H36" s="19"/>
      <c r="I36" s="18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 t="s">
        <v>160</v>
      </c>
      <c r="B37" s="6"/>
      <c r="C37" s="18"/>
      <c r="D37" s="18"/>
      <c r="E37" s="18"/>
      <c r="F37" s="18">
        <v>1</v>
      </c>
      <c r="G37" s="10"/>
      <c r="H37" s="19"/>
      <c r="I37" s="18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 t="s">
        <v>161</v>
      </c>
      <c r="B38" s="18"/>
      <c r="C38" s="18"/>
      <c r="D38" s="6"/>
      <c r="E38" s="6"/>
      <c r="F38" s="18">
        <v>2</v>
      </c>
      <c r="G38" s="10"/>
      <c r="H38" s="19"/>
      <c r="I38" s="18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 t="s">
        <v>162</v>
      </c>
      <c r="B39" s="18"/>
      <c r="C39" s="18"/>
      <c r="D39" s="18"/>
      <c r="E39" s="6"/>
      <c r="F39" s="18">
        <v>1</v>
      </c>
      <c r="G39" s="10"/>
      <c r="H39" s="19"/>
      <c r="I39" s="18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 t="s">
        <v>163</v>
      </c>
      <c r="B40" s="18"/>
      <c r="C40" s="18"/>
      <c r="D40" s="18"/>
      <c r="E40" s="6"/>
      <c r="F40" s="18">
        <v>1</v>
      </c>
      <c r="G40" s="10"/>
      <c r="H40" s="19"/>
      <c r="I40" s="18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 t="s">
        <v>164</v>
      </c>
      <c r="B41" s="18"/>
      <c r="C41" s="18"/>
      <c r="D41" s="18"/>
      <c r="E41" s="6"/>
      <c r="F41" s="18">
        <v>260</v>
      </c>
      <c r="G41" s="10"/>
      <c r="H41" s="19"/>
      <c r="I41" s="18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 t="s">
        <v>165</v>
      </c>
      <c r="B42" s="18">
        <v>1</v>
      </c>
      <c r="C42" s="18"/>
      <c r="D42" s="18"/>
      <c r="E42" s="6"/>
      <c r="F42" s="18"/>
      <c r="G42" s="10"/>
      <c r="H42" s="19"/>
      <c r="I42" s="18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 t="s">
        <v>166</v>
      </c>
      <c r="B43" s="18"/>
      <c r="C43" s="18"/>
      <c r="D43" s="18"/>
      <c r="E43" s="6">
        <f>134+493</f>
        <v>627</v>
      </c>
      <c r="F43" s="18"/>
      <c r="G43" s="10"/>
      <c r="H43" s="19"/>
      <c r="I43" s="18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 t="s">
        <v>167</v>
      </c>
      <c r="B44" s="18"/>
      <c r="C44" s="18"/>
      <c r="D44" s="18"/>
      <c r="E44" s="6">
        <f>150+600</f>
        <v>750</v>
      </c>
      <c r="F44" s="18"/>
      <c r="G44" s="10"/>
      <c r="H44" s="19"/>
      <c r="I44" s="18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 t="s">
        <v>168</v>
      </c>
      <c r="B45" s="18"/>
      <c r="C45" s="18"/>
      <c r="D45" s="18"/>
      <c r="E45" s="6">
        <f>90+110+85+87</f>
        <v>372</v>
      </c>
      <c r="F45" s="18"/>
      <c r="G45" s="10"/>
      <c r="H45" s="19"/>
      <c r="I45" s="18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 t="s">
        <v>169</v>
      </c>
      <c r="B46" s="18"/>
      <c r="C46" s="18"/>
      <c r="D46" s="18"/>
      <c r="E46" s="18">
        <f>200+200</f>
        <v>400</v>
      </c>
      <c r="F46" s="6"/>
      <c r="G46" s="10"/>
      <c r="H46" s="19"/>
      <c r="I46" s="18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 t="s">
        <v>170</v>
      </c>
      <c r="B47" s="18"/>
      <c r="C47" s="18"/>
      <c r="D47" s="18"/>
      <c r="E47" s="18">
        <v>16</v>
      </c>
      <c r="F47" s="6"/>
      <c r="G47" s="10"/>
      <c r="H47" s="19"/>
      <c r="I47" s="18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 t="s">
        <v>23</v>
      </c>
      <c r="B48" s="18"/>
      <c r="C48" s="18"/>
      <c r="D48" s="18">
        <v>2</v>
      </c>
      <c r="E48" s="18">
        <v>3</v>
      </c>
      <c r="F48" s="18"/>
      <c r="G48" s="10"/>
      <c r="H48" s="19"/>
      <c r="I48" s="18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 t="s">
        <v>171</v>
      </c>
      <c r="B49" s="18"/>
      <c r="C49" s="18"/>
      <c r="D49" s="6"/>
      <c r="E49" s="6">
        <f>330</f>
        <v>330</v>
      </c>
      <c r="F49" s="18"/>
      <c r="G49" s="10"/>
      <c r="H49" s="19"/>
      <c r="I49" s="18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 t="s">
        <v>172</v>
      </c>
      <c r="B50" s="18"/>
      <c r="C50" s="18"/>
      <c r="D50" s="18"/>
      <c r="E50" s="6">
        <f>353</f>
        <v>353</v>
      </c>
      <c r="F50" s="18"/>
      <c r="G50" s="10"/>
      <c r="H50" s="19"/>
      <c r="I50" s="18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 t="s">
        <v>173</v>
      </c>
      <c r="B51" s="18"/>
      <c r="C51" s="18"/>
      <c r="D51" s="18"/>
      <c r="E51" s="6">
        <f>168</f>
        <v>168</v>
      </c>
      <c r="F51" s="18"/>
      <c r="G51" s="10"/>
      <c r="H51" s="19"/>
      <c r="I51" s="18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 t="s">
        <v>174</v>
      </c>
      <c r="B52" s="6"/>
      <c r="C52" s="18"/>
      <c r="D52" s="18"/>
      <c r="E52" s="18">
        <f>278</f>
        <v>278</v>
      </c>
      <c r="F52" s="18"/>
      <c r="G52" s="10"/>
      <c r="H52" s="19"/>
      <c r="I52" s="18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 t="s">
        <v>175</v>
      </c>
      <c r="B53" s="18"/>
      <c r="C53" s="18"/>
      <c r="D53" s="18"/>
      <c r="E53" s="6">
        <f>74</f>
        <v>74</v>
      </c>
      <c r="F53" s="18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 t="s">
        <v>176</v>
      </c>
      <c r="B54" s="6"/>
      <c r="C54" s="18"/>
      <c r="D54" s="18"/>
      <c r="E54" s="18">
        <f>69</f>
        <v>69</v>
      </c>
      <c r="F54" s="18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 t="s">
        <v>41</v>
      </c>
      <c r="B55" s="18"/>
      <c r="C55" s="18"/>
      <c r="D55" s="18"/>
      <c r="E55" s="6">
        <f>238+278+647</f>
        <v>1163</v>
      </c>
      <c r="F55" s="18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 t="s">
        <v>177</v>
      </c>
      <c r="B56" s="18"/>
      <c r="C56" s="18"/>
      <c r="D56" s="18"/>
      <c r="E56" s="6">
        <f>190+380</f>
        <v>570</v>
      </c>
      <c r="F56" s="18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 t="s">
        <v>26</v>
      </c>
      <c r="B57" s="6"/>
      <c r="C57" s="18"/>
      <c r="D57" s="18"/>
      <c r="E57" s="18">
        <v>1</v>
      </c>
      <c r="F57" s="18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 ht="12.5">
      <c r="A58" s="19" t="s">
        <v>178</v>
      </c>
      <c r="B58" s="18"/>
      <c r="C58" s="18"/>
      <c r="D58" s="18"/>
      <c r="E58" s="18">
        <f>452</f>
        <v>452</v>
      </c>
      <c r="F58" s="18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 ht="12.5">
      <c r="A59" s="19"/>
      <c r="B59" s="18"/>
      <c r="C59" s="18"/>
      <c r="D59" s="18"/>
      <c r="E59" s="18"/>
      <c r="F59" s="18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 ht="12.5">
      <c r="A60" s="19"/>
      <c r="B60" s="18"/>
      <c r="C60" s="18"/>
      <c r="D60" s="18"/>
      <c r="E60" s="18"/>
      <c r="F60" s="18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 ht="12.5">
      <c r="A61" s="19"/>
      <c r="B61" s="18"/>
      <c r="C61" s="18"/>
      <c r="D61" s="18"/>
      <c r="E61" s="18"/>
      <c r="F61" s="18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 ht="12.5">
      <c r="A62" s="19"/>
      <c r="B62" s="18"/>
      <c r="C62" s="18"/>
      <c r="D62" s="18"/>
      <c r="E62" s="18"/>
      <c r="F62" s="18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 ht="12.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 ht="12.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 ht="12.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 ht="12.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 ht="12.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 ht="12.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 ht="12.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 ht="12.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 ht="12.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 ht="12.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 ht="12.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 ht="12.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 ht="12.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 ht="12.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 ht="12.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 ht="12.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 ht="12.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 ht="12.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 ht="12.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 ht="12.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 ht="12.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 ht="12.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 ht="12.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 ht="12.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 ht="12.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 ht="12.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 ht="12.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 ht="12.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 ht="12.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 ht="12.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 ht="12.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 ht="12.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 ht="12.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 ht="12.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 ht="12.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 ht="12.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 ht="12.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 ht="12.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 ht="12.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 ht="12.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 ht="12.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 ht="12.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 ht="12.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 ht="12.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 ht="12.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 ht="12.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 ht="12.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 ht="12.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 ht="12.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 ht="12.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 ht="12.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 ht="12.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 ht="12.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 ht="12.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 ht="12.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 ht="12.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 ht="12.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 ht="12.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 ht="12.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 ht="12.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 ht="12.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 ht="12.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 ht="12.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 ht="12.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 ht="12.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 ht="12.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 ht="12.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 ht="12.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 ht="12.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 ht="12.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 ht="12.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 ht="12.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 ht="12.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 ht="12.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 ht="12.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 ht="12.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 ht="12.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 ht="12.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 ht="12.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 ht="12.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 ht="12.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 ht="12.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 ht="12.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 ht="12.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 ht="12.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 ht="12.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 ht="12.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 ht="12.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 ht="12.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 ht="12.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 ht="12.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 ht="12.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 ht="12.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 ht="12.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 ht="12.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 ht="12.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 ht="12.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 ht="12.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 ht="12.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 ht="12.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 ht="12.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 ht="12.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 ht="12.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 ht="12.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 ht="12.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 ht="12.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 ht="12.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 ht="12.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 ht="12.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 ht="12.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 ht="12.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 ht="12.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 ht="12.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 ht="12.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 ht="12.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 ht="12.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 ht="12.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 ht="12.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 ht="12.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 ht="12.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 ht="12.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 ht="12.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 ht="12.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 ht="12.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 ht="12.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 ht="12.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 ht="12.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 ht="12.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 ht="12.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 ht="12.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 ht="12.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 ht="12.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 ht="12.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 ht="12.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 ht="12.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 ht="12.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 ht="12.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 ht="12.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 ht="12.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 ht="12.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 ht="12.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 ht="12.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 ht="12.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 ht="12.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 ht="12.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 ht="12.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 ht="12.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 ht="12.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 ht="12.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 ht="12.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 ht="12.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 ht="12.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 ht="12.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 ht="12.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 ht="12.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 ht="12.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 ht="12.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 ht="12.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 ht="12.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 ht="12.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 ht="12.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 ht="12.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 ht="12.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 ht="12.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 ht="12.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 ht="12.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 ht="12.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 ht="12.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 ht="12.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 ht="12.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 ht="12.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 ht="12.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 ht="12.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 ht="12.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 ht="12.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 ht="12.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 ht="12.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 ht="12.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 ht="12.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 ht="12.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 ht="12.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 ht="12.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 ht="12.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 ht="12.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 ht="12.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 ht="12.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 ht="12.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 ht="12.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 ht="12.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 ht="12.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 ht="12.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 ht="12.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 ht="12.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 ht="12.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 ht="12.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 ht="12.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 ht="12.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 ht="12.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 ht="12.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 ht="12.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 ht="12.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 ht="12.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 ht="12.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 ht="12.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 ht="12.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 ht="12.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 ht="12.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 ht="12.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 ht="12.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 ht="12.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 ht="12.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 ht="12.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 ht="12.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 ht="12.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 ht="12.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 ht="12.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 ht="12.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 ht="12.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 ht="12.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 ht="12.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 ht="12.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 ht="12.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 ht="12.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 ht="12.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 ht="12.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 ht="12.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 ht="12.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 ht="12.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 ht="12.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 ht="12.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 ht="12.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 ht="12.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 ht="12.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 ht="12.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 ht="12.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 ht="12.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 ht="12.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 ht="12.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 ht="12.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 ht="12.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 ht="12.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 ht="12.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 ht="12.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 ht="12.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 ht="12.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 ht="12.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 ht="12.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 ht="12.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 ht="12.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 ht="12.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 ht="12.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 ht="12.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 ht="12.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 ht="12.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 ht="12.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 ht="12.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 ht="12.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 ht="12.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 ht="12.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 ht="12.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 ht="12.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 ht="12.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 ht="12.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 ht="12.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 ht="12.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 ht="12.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 ht="12.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 ht="12.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 ht="12.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 ht="12.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 ht="12.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 ht="12.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 ht="12.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 ht="12.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 ht="12.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 ht="12.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 ht="12.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 ht="12.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 ht="12.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 ht="12.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 ht="12.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 ht="12.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 ht="12.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 ht="12.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 ht="12.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 ht="12.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 ht="12.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 ht="12.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 ht="12.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 ht="12.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 ht="12.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 ht="12.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 ht="12.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 ht="12.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 ht="12.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 ht="12.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 ht="12.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 ht="12.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 ht="12.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 ht="12.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 ht="12.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 ht="12.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 ht="12.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 ht="12.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 ht="12.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 ht="12.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 ht="12.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 ht="12.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 ht="12.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 ht="12.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 ht="12.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 ht="12.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 ht="12.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 ht="12.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 ht="12.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 ht="12.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 ht="12.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 ht="12.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 ht="12.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 ht="12.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 ht="12.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 ht="12.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 ht="12.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 ht="12.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 ht="12.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 ht="12.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 ht="12.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 ht="12.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 ht="12.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 ht="12.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 ht="12.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 ht="12.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 ht="12.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 ht="12.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 ht="12.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 ht="12.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 ht="12.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 ht="12.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 ht="12.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 ht="12.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 ht="12.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 ht="12.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 ht="12.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 ht="12.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 ht="12.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 ht="12.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 ht="12.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 ht="12.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 ht="12.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 ht="12.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 ht="12.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 ht="12.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 ht="12.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 ht="12.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 ht="12.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 ht="12.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 ht="12.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 ht="12.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 ht="12.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 ht="12.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 ht="12.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 ht="12.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 ht="12.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 ht="12.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 ht="12.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 ht="12.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 ht="12.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 ht="12.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 ht="12.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 ht="12.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 ht="12.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 ht="12.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 ht="12.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 ht="12.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 ht="12.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 ht="12.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 ht="12.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 ht="12.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 ht="12.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 ht="12.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 ht="12.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 ht="12.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 ht="12.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 ht="12.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 ht="12.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 ht="12.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 ht="12.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 ht="12.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 ht="12.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 ht="12.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 ht="12.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 ht="12.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 ht="12.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 ht="12.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 ht="12.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 ht="12.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 ht="12.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 ht="12.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 ht="12.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 ht="12.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 ht="12.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 ht="12.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 ht="12.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 ht="12.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 ht="12.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 ht="12.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 ht="12.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 ht="12.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 ht="12.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 ht="12.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 ht="12.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 ht="12.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 ht="12.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 ht="12.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 ht="12.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 ht="12.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 ht="12.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 ht="12.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 ht="12.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 ht="12.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 ht="12.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 ht="12.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 ht="12.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 ht="12.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 ht="12.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 ht="12.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 ht="12.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 ht="12.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 ht="12.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 ht="12.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 ht="12.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 ht="12.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 ht="12.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 ht="12.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 ht="12.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 ht="12.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 ht="12.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 ht="12.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 ht="12.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 ht="12.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 ht="12.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 ht="12.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 ht="12.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 ht="12.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 ht="12.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 ht="12.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 ht="12.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 ht="12.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 ht="12.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 ht="12.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 ht="12.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 ht="12.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 ht="12.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 ht="12.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 ht="12.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 ht="12.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 ht="12.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 ht="12.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 ht="12.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 ht="12.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 ht="12.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 ht="12.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 ht="12.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 ht="12.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 ht="12.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 ht="12.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 ht="12.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 ht="12.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 ht="12.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 ht="12.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 ht="12.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 ht="12.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 ht="12.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 ht="12.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 ht="12.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 ht="12.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 ht="12.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 ht="12.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 ht="12.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 ht="12.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 ht="12.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 ht="12.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 ht="12.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 ht="12.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 ht="12.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 ht="12.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 ht="12.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 ht="12.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 ht="12.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 ht="12.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 ht="12.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 ht="12.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 ht="12.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 ht="12.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 ht="12.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 ht="12.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 ht="12.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 ht="12.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 ht="12.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 ht="12.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 ht="12.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 ht="12.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 ht="12.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 ht="12.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 ht="12.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 ht="12.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 ht="12.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 ht="12.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 ht="12.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 ht="12.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 ht="12.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 ht="12.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 ht="12.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 ht="12.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 ht="12.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 ht="12.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 ht="12.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 ht="12.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 ht="12.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 ht="12.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 ht="12.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 ht="12.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 ht="12.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 ht="12.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 ht="12.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 ht="12.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 ht="12.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 ht="12.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 ht="12.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 ht="12.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 ht="12.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 ht="12.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 ht="12.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 ht="12.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 ht="12.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 ht="12.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 ht="12.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 ht="12.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 ht="12.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 ht="12.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 ht="12.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 ht="12.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 ht="12.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 ht="12.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 ht="12.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 ht="12.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 ht="12.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 ht="12.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 ht="12.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 ht="12.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 ht="12.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 ht="12.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 ht="12.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 ht="12.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 ht="12.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 ht="12.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 ht="12.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 ht="12.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 ht="12.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 ht="12.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 ht="12.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 ht="12.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 ht="12.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 ht="12.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 ht="12.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 ht="12.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 ht="12.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 ht="12.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 ht="12.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 ht="12.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 ht="12.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 ht="12.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 ht="12.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 ht="12.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 ht="12.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 ht="12.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 ht="12.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 ht="12.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 ht="12.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 ht="12.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 ht="12.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 ht="12.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 ht="12.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 ht="12.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 ht="12.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 ht="12.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 ht="12.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 ht="12.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 ht="12.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 ht="12.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 ht="12.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 ht="12.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 ht="12.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 ht="12.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 ht="12.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 ht="12.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 ht="12.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 ht="12.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 ht="12.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 ht="12.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 ht="12.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 ht="12.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 ht="12.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 ht="12.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 ht="12.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 ht="12.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 ht="12.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 ht="12.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 ht="12.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 ht="12.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 ht="12.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 ht="12.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 ht="12.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 ht="12.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 ht="12.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 ht="12.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 ht="12.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 ht="12.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 ht="12.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 ht="12.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 ht="12.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 ht="12.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 ht="12.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 ht="12.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 ht="12.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 ht="12.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 ht="12.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 ht="12.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 ht="12.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 ht="12.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 ht="12.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 ht="12.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 ht="12.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 ht="12.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 ht="12.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 ht="12.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 ht="12.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 ht="12.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 ht="12.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 ht="12.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 ht="12.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 ht="12.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 ht="12.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 ht="12.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 ht="12.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 ht="12.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 ht="12.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 ht="12.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 ht="12.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 ht="12.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 ht="12.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 ht="12.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 ht="12.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 ht="12.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 ht="12.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 ht="12.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 ht="12.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 ht="12.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 ht="12.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 ht="12.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 ht="12.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 ht="12.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 ht="12.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 ht="12.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 ht="12.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 ht="12.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 ht="12.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 ht="12.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 ht="12.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 ht="12.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 ht="12.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 ht="12.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 ht="12.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 ht="12.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 ht="12.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 ht="12.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 ht="12.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 ht="12.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 ht="12.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 ht="12.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 ht="12.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 ht="12.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 ht="12.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 ht="12.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 ht="12.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 ht="12.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 ht="12.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 ht="12.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 ht="12.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 ht="12.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 ht="12.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 ht="12.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 ht="12.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 ht="12.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 ht="12.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 ht="12.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 ht="12.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 ht="12.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 ht="12.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 ht="12.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 ht="12.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 ht="12.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 ht="12.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 ht="12.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 ht="12.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 ht="12.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 ht="12.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 ht="12.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 ht="12.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 ht="12.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 ht="12.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 ht="12.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 ht="12.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 ht="12.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 ht="12.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 ht="12.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 ht="12.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 ht="12.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 ht="12.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 ht="12.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 ht="12.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 ht="12.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 ht="12.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 ht="12.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 ht="12.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 ht="12.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 ht="12.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 ht="12.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 ht="12.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 ht="12.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 ht="12.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 ht="12.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 ht="12.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 ht="12.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 ht="12.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 ht="12.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 ht="12.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 ht="12.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 ht="12.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 ht="12.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 ht="12.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 ht="12.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 ht="12.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 ht="12.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 ht="12.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 ht="12.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 ht="12.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 ht="12.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 ht="12.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 ht="12.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 ht="12.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 ht="12.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 ht="12.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 ht="12.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 ht="12.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 ht="12.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 ht="12.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 ht="12.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 ht="12.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 ht="12.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 ht="12.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 ht="12.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 ht="12.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 ht="12.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 ht="12.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 ht="12.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 ht="12.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 ht="12.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 ht="12.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 ht="12.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 ht="12.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 ht="12.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 ht="12.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 ht="12.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 ht="12.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 ht="12.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 ht="12.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 ht="12.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 ht="12.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 ht="12.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 ht="12.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 ht="12.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 ht="12.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 ht="12.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 ht="12.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 ht="12.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 ht="12.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 ht="12.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 ht="12.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 ht="12.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 ht="12.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 ht="12.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 ht="12.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 ht="12.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 ht="12.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 ht="12.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 ht="12.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 ht="12.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 ht="12.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 ht="12.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 ht="12.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 ht="12.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 ht="12.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 ht="12.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 ht="12.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 ht="12.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 ht="12.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 ht="12.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 ht="12.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 ht="12.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 ht="12.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 ht="12.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 ht="12.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 ht="12.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 ht="12.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 ht="12.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 ht="12.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 ht="12.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 ht="12.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 ht="12.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 ht="12.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 ht="12.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 ht="12.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 ht="12.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 ht="12.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 ht="12.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 ht="12.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 ht="12.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 ht="12.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 ht="12.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 ht="12.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 ht="12.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 ht="12.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 ht="12.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 ht="12.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 ht="12.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 ht="12.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 ht="12.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 ht="12.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 ht="12.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 ht="12.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 ht="12.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 ht="12.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 ht="12.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 ht="12.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 ht="12.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 ht="12.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 ht="12.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 ht="12.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 ht="12.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 ht="12.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 ht="12.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 ht="12.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 ht="12.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 ht="12.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 ht="12.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 ht="12.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 ht="12.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 ht="12.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 ht="12.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 ht="12.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 ht="12.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 ht="12.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 ht="12.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 ht="12.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 ht="12.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 ht="12.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 ht="12.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 ht="12.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 ht="12.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 ht="12.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 ht="12.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 ht="12.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 ht="12.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 ht="12.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 ht="12.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 ht="12.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 ht="12.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 ht="12.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 ht="12.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 ht="12.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 ht="12.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 ht="12.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 ht="12.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 ht="12.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 ht="12.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 ht="12.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 ht="12.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 ht="12.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 ht="12.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 ht="12.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 ht="12.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 ht="12.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 ht="12.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 ht="12.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 ht="12.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 ht="12.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 ht="12.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 ht="12.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 ht="12.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 ht="12.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 ht="12.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 ht="12.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 ht="12.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 ht="12.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 ht="12.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 ht="12.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 ht="12.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 ht="12.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 ht="12.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 ht="12.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 ht="12.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 ht="12.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 ht="12.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 ht="12.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 ht="12.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 ht="12.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 ht="12.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 ht="12.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 ht="12.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 ht="12.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 ht="12.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 ht="12.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 ht="12.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 ht="12.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 ht="12.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 ht="12.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 ht="12.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 ht="12.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 ht="12.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 ht="12.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 ht="12.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 ht="12.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 ht="12.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 ht="12.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 ht="12.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 ht="12.5"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 ht="12.5"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0AD6-87E4-46A4-A2E5-54A7D66143AC}">
  <dimension ref="A1:AL1000"/>
  <sheetViews>
    <sheetView zoomScale="150" zoomScaleNormal="150" workbookViewId="0">
      <pane ySplit="1" topLeftCell="A2" activePane="bottomLeft" state="frozen"/>
      <selection pane="bottomLeft" activeCell="H12" sqref="H12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180+126+126+36+108+180+162+162+180+162+108+144+108+108+54+108+54+108+108+126+72+108+144+108+72+108+72</f>
        <v>3132</v>
      </c>
      <c r="C2" s="17">
        <f>19*18+306+306+270+270+270+378+162+288+324+324+252+270+198+162+180+252+252+198+234+180+198+216+90+216+180+252</f>
        <v>6570</v>
      </c>
      <c r="D2" s="6">
        <f>10</f>
        <v>10</v>
      </c>
      <c r="E2" s="36">
        <f>54+54+54+54+54+54+54+54+54+54+54+54+54+54+54+54+54</f>
        <v>918</v>
      </c>
      <c r="F2" s="18"/>
      <c r="G2" s="10"/>
      <c r="H2" s="19" t="s">
        <v>200</v>
      </c>
      <c r="I2" s="32">
        <f>1+1+1+1+1</f>
        <v>5</v>
      </c>
      <c r="J2" s="18"/>
      <c r="K2" s="20"/>
      <c r="L2" s="10"/>
      <c r="M2" s="21" t="s">
        <v>99</v>
      </c>
      <c r="N2" s="22"/>
      <c r="O2" s="23">
        <f>160+120+260+140+150+150+120</f>
        <v>1100</v>
      </c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126+126+90+18+54+108+126+90+90+90+72+108+72+90+18+54+18+108+90+90+72+72+108+144+54+72+72+90+90+90</f>
        <v>2502</v>
      </c>
      <c r="C3" s="18">
        <f>198+108</f>
        <v>306</v>
      </c>
      <c r="D3" s="6"/>
      <c r="E3" s="36">
        <f>54+54+54+54+54+54+54+54+54+54+54+54+54</f>
        <v>702</v>
      </c>
      <c r="F3" s="6"/>
      <c r="G3" s="10"/>
      <c r="H3" s="19" t="s">
        <v>98</v>
      </c>
      <c r="I3" s="32">
        <f>1+2+1+1+1+2+2+1+1+2+1</f>
        <v>15</v>
      </c>
      <c r="J3" s="20"/>
      <c r="K3" s="18"/>
      <c r="L3" s="10"/>
      <c r="M3" s="21" t="s">
        <v>106</v>
      </c>
      <c r="N3" s="22"/>
      <c r="O3" s="23">
        <f>1+1</f>
        <v>2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18</v>
      </c>
      <c r="B4" s="18"/>
      <c r="C4" s="18"/>
      <c r="D4" s="18"/>
      <c r="E4" s="36">
        <f>0.068+0.14+0.115+0.102+0.045+0.116+0.14+0.14</f>
        <v>0.86599999999999999</v>
      </c>
      <c r="F4" s="18"/>
      <c r="G4" s="10"/>
      <c r="H4" s="19" t="s">
        <v>201</v>
      </c>
      <c r="I4" s="32">
        <f>3+6+4+2+4+1+4+1+4+4</f>
        <v>33</v>
      </c>
      <c r="J4" s="20"/>
      <c r="K4" s="18"/>
      <c r="L4" s="10"/>
      <c r="M4" s="21" t="s">
        <v>191</v>
      </c>
      <c r="N4" s="22"/>
      <c r="O4" s="23">
        <f>1+1+1</f>
        <v>3</v>
      </c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181</v>
      </c>
      <c r="B5" s="18"/>
      <c r="C5" s="18"/>
      <c r="D5" s="18"/>
      <c r="E5" s="36">
        <v>8.5000000000000006E-2</v>
      </c>
      <c r="F5" s="18"/>
      <c r="G5" s="10"/>
      <c r="H5" s="19" t="s">
        <v>202</v>
      </c>
      <c r="I5" s="32">
        <f>1+1+1+1+1+1</f>
        <v>6</v>
      </c>
      <c r="J5" s="18"/>
      <c r="K5" s="18"/>
      <c r="L5" s="10"/>
      <c r="M5" s="21" t="s">
        <v>223</v>
      </c>
      <c r="N5" s="22"/>
      <c r="O5" s="23">
        <f>120+50</f>
        <v>170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182</v>
      </c>
      <c r="B6" s="18"/>
      <c r="C6" s="18"/>
      <c r="D6" s="18"/>
      <c r="E6" s="36">
        <f>0.023</f>
        <v>2.3E-2</v>
      </c>
      <c r="F6" s="18"/>
      <c r="G6" s="10"/>
      <c r="H6" s="19" t="s">
        <v>203</v>
      </c>
      <c r="I6" s="32">
        <f>1+1+1+1+1+1+1</f>
        <v>7</v>
      </c>
      <c r="J6" s="18"/>
      <c r="K6" s="18"/>
      <c r="L6" s="10"/>
      <c r="M6" s="21"/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183</v>
      </c>
      <c r="B7" s="18">
        <v>1</v>
      </c>
      <c r="C7" s="18"/>
      <c r="D7" s="18"/>
      <c r="E7" s="36"/>
      <c r="F7" s="18"/>
      <c r="G7" s="10"/>
      <c r="H7" s="19" t="s">
        <v>204</v>
      </c>
      <c r="I7" s="32">
        <f>2+2+2+2+2+2</f>
        <v>12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155</v>
      </c>
      <c r="B8" s="18">
        <f>60+18</f>
        <v>78</v>
      </c>
      <c r="C8" s="18"/>
      <c r="D8" s="18"/>
      <c r="E8" s="36"/>
      <c r="F8" s="18"/>
      <c r="G8" s="10"/>
      <c r="H8" s="19" t="s">
        <v>152</v>
      </c>
      <c r="I8" s="32">
        <f>2+2</f>
        <v>4</v>
      </c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185</v>
      </c>
      <c r="B9" s="18">
        <f>60+18</f>
        <v>78</v>
      </c>
      <c r="C9" s="18"/>
      <c r="D9" s="18"/>
      <c r="E9" s="36"/>
      <c r="F9" s="18"/>
      <c r="G9" s="10"/>
      <c r="H9" s="19" t="s">
        <v>205</v>
      </c>
      <c r="I9" s="32">
        <f>1+1+1+2+1+1+2+1</f>
        <v>10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184</v>
      </c>
      <c r="B10" s="18">
        <f>60+18</f>
        <v>78</v>
      </c>
      <c r="C10" s="18"/>
      <c r="D10" s="18"/>
      <c r="E10" s="36"/>
      <c r="F10" s="18"/>
      <c r="G10" s="10"/>
      <c r="H10" s="19" t="s">
        <v>206</v>
      </c>
      <c r="I10" s="32">
        <f>1+4+3+1+1+1+1+3+5+1+1+1+1+1+1</f>
        <v>26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186</v>
      </c>
      <c r="B11" s="18">
        <f>60+18+54</f>
        <v>132</v>
      </c>
      <c r="C11" s="18"/>
      <c r="D11" s="18"/>
      <c r="E11" s="36"/>
      <c r="F11" s="18"/>
      <c r="G11" s="10"/>
      <c r="H11" s="19" t="s">
        <v>137</v>
      </c>
      <c r="I11" s="32">
        <f>1+1+1+1+1</f>
        <v>5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29</v>
      </c>
      <c r="B12" s="18"/>
      <c r="C12" s="18"/>
      <c r="D12" s="18"/>
      <c r="E12" s="36">
        <v>16</v>
      </c>
      <c r="F12" s="18"/>
      <c r="G12" s="10"/>
      <c r="H12" s="19" t="s">
        <v>136</v>
      </c>
      <c r="I12" s="32">
        <f>2+1+1+1+1+1+1</f>
        <v>8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30</v>
      </c>
      <c r="B13" s="18"/>
      <c r="C13" s="18"/>
      <c r="D13" s="18"/>
      <c r="E13" s="36">
        <v>14</v>
      </c>
      <c r="F13" s="18"/>
      <c r="G13" s="10"/>
      <c r="H13" s="19" t="s">
        <v>128</v>
      </c>
      <c r="I13" s="32">
        <f>1+1+2</f>
        <v>4</v>
      </c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34</v>
      </c>
      <c r="B14" s="18"/>
      <c r="C14" s="18"/>
      <c r="D14" s="18"/>
      <c r="E14" s="36">
        <f>0.21+0.3+0.117+0.175+0.2+0.225+0.155</f>
        <v>1.3820000000000001</v>
      </c>
      <c r="F14" s="18"/>
      <c r="G14" s="10"/>
      <c r="H14" s="19" t="s">
        <v>207</v>
      </c>
      <c r="I14" s="32">
        <f>1</f>
        <v>1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28</v>
      </c>
      <c r="B15" s="18"/>
      <c r="C15" s="18"/>
      <c r="D15" s="6"/>
      <c r="E15" s="36">
        <v>0.03</v>
      </c>
      <c r="F15" s="18"/>
      <c r="G15" s="10"/>
      <c r="H15" s="19" t="s">
        <v>208</v>
      </c>
      <c r="I15" s="32">
        <f>1+1+5+1+1+1</f>
        <v>10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187</v>
      </c>
      <c r="B16" s="18"/>
      <c r="C16" s="18"/>
      <c r="D16" s="18"/>
      <c r="E16" s="36">
        <f>117+272.5</f>
        <v>389.5</v>
      </c>
      <c r="F16" s="18"/>
      <c r="G16" s="10"/>
      <c r="H16" s="19" t="s">
        <v>139</v>
      </c>
      <c r="I16" s="32">
        <f>1+1+1+3+1+1+1+2+2</f>
        <v>13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40</v>
      </c>
      <c r="B17" s="18"/>
      <c r="C17" s="18"/>
      <c r="D17" s="18"/>
      <c r="E17" s="36">
        <v>9</v>
      </c>
      <c r="F17" s="18"/>
      <c r="G17" s="10"/>
      <c r="H17" s="19" t="s">
        <v>209</v>
      </c>
      <c r="I17" s="32">
        <f>1+1+1+1+1+1</f>
        <v>6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41</v>
      </c>
      <c r="B18" s="6"/>
      <c r="C18" s="18"/>
      <c r="D18" s="18"/>
      <c r="E18" s="36">
        <f>0.172+0.197+0.15+0.107+0.238</f>
        <v>0.86399999999999999</v>
      </c>
      <c r="F18" s="18"/>
      <c r="G18" s="10"/>
      <c r="H18" s="19" t="s">
        <v>210</v>
      </c>
      <c r="I18" s="32">
        <f>1+1+1+1+1+1+1+1</f>
        <v>8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178</v>
      </c>
      <c r="B19" s="6"/>
      <c r="C19" s="18"/>
      <c r="D19" s="18"/>
      <c r="E19" s="37">
        <f>0.23+0.141+0.179</f>
        <v>0.55000000000000004</v>
      </c>
      <c r="F19" s="18"/>
      <c r="G19" s="10"/>
      <c r="H19" s="19" t="s">
        <v>211</v>
      </c>
      <c r="I19" s="32">
        <f>1+1+1</f>
        <v>3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19</v>
      </c>
      <c r="B20" s="18"/>
      <c r="C20" s="18"/>
      <c r="D20" s="6"/>
      <c r="E20" s="36">
        <f>0.131+0.04</f>
        <v>0.17100000000000001</v>
      </c>
      <c r="F20" s="18"/>
      <c r="G20" s="10"/>
      <c r="H20" s="19" t="s">
        <v>212</v>
      </c>
      <c r="I20" s="32">
        <f>1+1+1+1+1+1+1</f>
        <v>7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188</v>
      </c>
      <c r="B21" s="18"/>
      <c r="C21" s="18"/>
      <c r="D21" s="6"/>
      <c r="E21" s="36">
        <f>0.076</f>
        <v>7.5999999999999998E-2</v>
      </c>
      <c r="F21" s="18"/>
      <c r="G21" s="10"/>
      <c r="H21" s="19" t="s">
        <v>213</v>
      </c>
      <c r="I21" s="32">
        <f>1+1+1+1+1+1+1+1+1</f>
        <v>9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84</v>
      </c>
      <c r="B22" s="18"/>
      <c r="C22" s="18"/>
      <c r="D22" s="18"/>
      <c r="E22" s="36">
        <f>0.076+0.095</f>
        <v>0.17099999999999999</v>
      </c>
      <c r="F22" s="18"/>
      <c r="G22" s="10"/>
      <c r="H22" s="19" t="s">
        <v>95</v>
      </c>
      <c r="I22" s="32">
        <f>1+1+1+1+1+1</f>
        <v>6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71</v>
      </c>
      <c r="B23" s="18"/>
      <c r="C23" s="18"/>
      <c r="D23" s="18"/>
      <c r="E23" s="37">
        <f>0.215+0.15</f>
        <v>0.36499999999999999</v>
      </c>
      <c r="F23" s="6"/>
      <c r="G23" s="10"/>
      <c r="H23" s="19" t="s">
        <v>214</v>
      </c>
      <c r="I23" s="32">
        <f>1+1+1+1+1</f>
        <v>5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189</v>
      </c>
      <c r="B24" s="18"/>
      <c r="C24" s="18"/>
      <c r="D24" s="18"/>
      <c r="E24" s="37">
        <f>2</f>
        <v>2</v>
      </c>
      <c r="F24" s="6"/>
      <c r="G24" s="10"/>
      <c r="H24" s="19" t="s">
        <v>113</v>
      </c>
      <c r="I24" s="32">
        <f>2+1+1+1</f>
        <v>5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177</v>
      </c>
      <c r="B25" s="18"/>
      <c r="C25" s="18"/>
      <c r="D25" s="18"/>
      <c r="E25" s="37">
        <f>0.2+0.6</f>
        <v>0.8</v>
      </c>
      <c r="F25" s="6"/>
      <c r="G25" s="10"/>
      <c r="H25" s="19" t="s">
        <v>130</v>
      </c>
      <c r="I25" s="32">
        <f>2+1+2</f>
        <v>5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78</v>
      </c>
      <c r="B26" s="18"/>
      <c r="C26" s="18"/>
      <c r="D26" s="18">
        <f>0.192</f>
        <v>0.192</v>
      </c>
      <c r="E26" s="37">
        <f>0.083</f>
        <v>8.3000000000000004E-2</v>
      </c>
      <c r="F26" s="6"/>
      <c r="G26" s="10"/>
      <c r="H26" s="19" t="s">
        <v>158</v>
      </c>
      <c r="I26" s="32">
        <f>1+1+1+1+3+2+2+1</f>
        <v>12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27</v>
      </c>
      <c r="B27" s="18"/>
      <c r="C27" s="18"/>
      <c r="D27" s="18"/>
      <c r="E27" s="37">
        <v>0.3</v>
      </c>
      <c r="F27" s="6"/>
      <c r="G27" s="10"/>
      <c r="H27" s="19" t="s">
        <v>215</v>
      </c>
      <c r="I27" s="32">
        <f>1+1+1+1</f>
        <v>4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190</v>
      </c>
      <c r="B28" s="18"/>
      <c r="C28" s="18"/>
      <c r="D28" s="18"/>
      <c r="E28" s="37">
        <f>0.2</f>
        <v>0.2</v>
      </c>
      <c r="F28" s="6"/>
      <c r="G28" s="10"/>
      <c r="H28" s="19" t="s">
        <v>216</v>
      </c>
      <c r="I28" s="32">
        <f>1+1+1</f>
        <v>3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191</v>
      </c>
      <c r="B29" s="18"/>
      <c r="C29" s="18"/>
      <c r="D29" s="18"/>
      <c r="E29" s="37">
        <v>1</v>
      </c>
      <c r="F29" s="6"/>
      <c r="G29" s="10"/>
      <c r="H29" s="19" t="s">
        <v>154</v>
      </c>
      <c r="I29" s="32">
        <f>1+1</f>
        <v>2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 t="s">
        <v>69</v>
      </c>
      <c r="B30" s="18"/>
      <c r="C30" s="18"/>
      <c r="D30" s="18"/>
      <c r="E30" s="37">
        <f>0.04+0.101</f>
        <v>0.14100000000000001</v>
      </c>
      <c r="F30" s="6"/>
      <c r="G30" s="10"/>
      <c r="H30" s="19" t="s">
        <v>145</v>
      </c>
      <c r="I30" s="32">
        <f>1+1+1+1+1+1+2</f>
        <v>8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 t="s">
        <v>138</v>
      </c>
      <c r="B31" s="18"/>
      <c r="C31" s="18"/>
      <c r="D31" s="18"/>
      <c r="E31" s="37">
        <f>0.08</f>
        <v>0.08</v>
      </c>
      <c r="F31" s="6"/>
      <c r="G31" s="10"/>
      <c r="H31" s="19" t="s">
        <v>217</v>
      </c>
      <c r="I31" s="32">
        <f>1+2+1</f>
        <v>4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 t="s">
        <v>192</v>
      </c>
      <c r="B32" s="18"/>
      <c r="C32" s="18"/>
      <c r="D32" s="18"/>
      <c r="E32" s="37">
        <f>0.347+0.184</f>
        <v>0.53099999999999992</v>
      </c>
      <c r="F32" s="6"/>
      <c r="G32" s="10"/>
      <c r="H32" s="19" t="s">
        <v>150</v>
      </c>
      <c r="I32" s="32">
        <f>1+1+1+1+2+2</f>
        <v>8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 t="s">
        <v>193</v>
      </c>
      <c r="B33" s="18"/>
      <c r="C33" s="18"/>
      <c r="D33" s="18"/>
      <c r="E33" s="36">
        <v>0.214</v>
      </c>
      <c r="F33" s="6"/>
      <c r="G33" s="10"/>
      <c r="H33" s="19" t="s">
        <v>218</v>
      </c>
      <c r="I33" s="32">
        <f>1</f>
        <v>1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 t="s">
        <v>194</v>
      </c>
      <c r="B34" s="18"/>
      <c r="C34" s="18"/>
      <c r="D34" s="18"/>
      <c r="E34" s="37">
        <f>0.08</f>
        <v>0.08</v>
      </c>
      <c r="F34" s="6"/>
      <c r="G34" s="10"/>
      <c r="H34" s="19" t="s">
        <v>219</v>
      </c>
      <c r="I34" s="32">
        <f>1+3+2+2</f>
        <v>8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 t="s">
        <v>195</v>
      </c>
      <c r="B35" s="18"/>
      <c r="C35" s="18"/>
      <c r="D35" s="18"/>
      <c r="E35" s="37">
        <f>0.23</f>
        <v>0.23</v>
      </c>
      <c r="F35" s="6"/>
      <c r="G35" s="10"/>
      <c r="H35" s="19" t="s">
        <v>220</v>
      </c>
      <c r="I35" s="32">
        <f>1+2</f>
        <v>3</v>
      </c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 t="s">
        <v>11</v>
      </c>
      <c r="B36" s="18"/>
      <c r="C36" s="18"/>
      <c r="D36" s="18"/>
      <c r="E36" s="36">
        <v>16</v>
      </c>
      <c r="F36" s="18"/>
      <c r="G36" s="10"/>
      <c r="H36" s="19" t="s">
        <v>221</v>
      </c>
      <c r="I36" s="32">
        <f>1</f>
        <v>1</v>
      </c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 t="s">
        <v>196</v>
      </c>
      <c r="B37" s="6"/>
      <c r="C37" s="18"/>
      <c r="D37" s="18"/>
      <c r="E37" s="37">
        <v>1.2350000000000001</v>
      </c>
      <c r="F37" s="18"/>
      <c r="G37" s="10"/>
      <c r="H37" s="19" t="s">
        <v>222</v>
      </c>
      <c r="I37" s="32">
        <f>1+3+1+3</f>
        <v>8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 t="s">
        <v>56</v>
      </c>
      <c r="B38" s="18"/>
      <c r="C38" s="18"/>
      <c r="D38" s="6"/>
      <c r="E38" s="36">
        <f>0.525</f>
        <v>0.52500000000000002</v>
      </c>
      <c r="F38" s="18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 t="s">
        <v>197</v>
      </c>
      <c r="B39" s="18"/>
      <c r="C39" s="18"/>
      <c r="D39" s="18"/>
      <c r="E39" s="36">
        <v>0.24</v>
      </c>
      <c r="F39" s="18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 t="s">
        <v>198</v>
      </c>
      <c r="B40" s="18"/>
      <c r="C40" s="18"/>
      <c r="D40" s="18"/>
      <c r="E40" s="36">
        <f>1</f>
        <v>1</v>
      </c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 t="s">
        <v>224</v>
      </c>
      <c r="B41" s="18"/>
      <c r="C41" s="18"/>
      <c r="D41" s="18"/>
      <c r="E41" s="36">
        <v>0.5</v>
      </c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E514-31F2-470A-B889-7B2880F6742B}">
  <dimension ref="A1:AL1000"/>
  <sheetViews>
    <sheetView zoomScale="131" zoomScaleNormal="131" workbookViewId="0">
      <selection activeCell="E7" sqref="E7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90+36+54+36+54+54+54+36+54+54+54+54+18+54+54+18+54+54+54+54+54+54+54+54+54+36+54+18+72+18+54+54+54+564+54+18+18+18+36+54+36+54+36+18+36+54+108+54+54+54+36+72+108+18+54+36+54+54+36+72</f>
        <v>3426</v>
      </c>
      <c r="C2" s="6">
        <f>72+144+108+216+172+54+72+72+18+108+108+126+90+216+198+144+288+288+306+90+126+162+162+198+180+180+180+180+288+126</f>
        <v>4672</v>
      </c>
      <c r="D2" s="6"/>
      <c r="E2" s="36"/>
      <c r="F2" s="18"/>
      <c r="G2" s="10"/>
      <c r="H2" s="19" t="s">
        <v>200</v>
      </c>
      <c r="I2" s="32">
        <f>1+1+1</f>
        <v>3</v>
      </c>
      <c r="J2" s="18"/>
      <c r="K2" s="20"/>
      <c r="L2" s="10"/>
      <c r="M2" s="21" t="s">
        <v>99</v>
      </c>
      <c r="N2" s="22"/>
      <c r="O2" s="40">
        <v>1300</v>
      </c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36+36+18+54+54+36+36+54+54+18+18+36+54+54+54+36+54+18+54+36+18+54+18+54+54+18+54+54+18+18+72+108+54+18+54+54+18+18</f>
        <v>1566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>
        <v>4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225</v>
      </c>
      <c r="B4" s="18"/>
      <c r="C4" s="18"/>
      <c r="D4" s="20" t="s">
        <v>226</v>
      </c>
      <c r="E4" s="36"/>
      <c r="F4" s="18"/>
      <c r="G4" s="10"/>
      <c r="H4" s="19" t="s">
        <v>201</v>
      </c>
      <c r="I4" s="32">
        <f>2+2+4+5+1</f>
        <v>14</v>
      </c>
      <c r="J4" s="20"/>
      <c r="K4" s="18"/>
      <c r="L4" s="10"/>
      <c r="M4" s="21" t="s">
        <v>191</v>
      </c>
      <c r="N4" s="22"/>
      <c r="O4" s="23">
        <v>4</v>
      </c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227</v>
      </c>
      <c r="B5" s="18"/>
      <c r="C5" s="18"/>
      <c r="D5" s="20">
        <v>1</v>
      </c>
      <c r="E5" s="36"/>
      <c r="F5" s="18"/>
      <c r="G5" s="10"/>
      <c r="H5" s="19" t="s">
        <v>202</v>
      </c>
      <c r="I5" s="32">
        <f>1+1+1</f>
        <v>3</v>
      </c>
      <c r="J5" s="18"/>
      <c r="K5" s="18"/>
      <c r="L5" s="10"/>
      <c r="M5" s="21" t="s">
        <v>223</v>
      </c>
      <c r="N5" s="22"/>
      <c r="O5" s="23" t="s">
        <v>263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228</v>
      </c>
      <c r="B6" s="18"/>
      <c r="C6" s="18"/>
      <c r="D6" s="20">
        <v>1</v>
      </c>
      <c r="E6" s="36"/>
      <c r="F6" s="18"/>
      <c r="G6" s="10"/>
      <c r="H6" s="19" t="s">
        <v>203</v>
      </c>
      <c r="I6" s="32">
        <f>1+1+1+1+1+1</f>
        <v>6</v>
      </c>
      <c r="J6" s="18"/>
      <c r="K6" s="18"/>
      <c r="L6" s="10"/>
      <c r="M6" s="21"/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179</v>
      </c>
      <c r="B7" s="18"/>
      <c r="C7" s="18"/>
      <c r="D7" s="18"/>
      <c r="E7" s="36">
        <f>31*54</f>
        <v>1674</v>
      </c>
      <c r="F7" s="18"/>
      <c r="G7" s="10"/>
      <c r="H7" s="19" t="s">
        <v>204</v>
      </c>
      <c r="I7" s="32">
        <f>1+1+1+2+1+1+1+1</f>
        <v>9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28</v>
      </c>
      <c r="B8" s="18"/>
      <c r="C8" s="18"/>
      <c r="D8" s="18"/>
      <c r="E8" s="36" t="s">
        <v>229</v>
      </c>
      <c r="F8" s="18"/>
      <c r="G8" s="10"/>
      <c r="H8" s="19" t="s">
        <v>152</v>
      </c>
      <c r="I8" s="32">
        <f>1</f>
        <v>1</v>
      </c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230</v>
      </c>
      <c r="B9" s="18"/>
      <c r="C9" s="18"/>
      <c r="D9" s="18"/>
      <c r="E9" s="36" t="s">
        <v>231</v>
      </c>
      <c r="F9" s="18"/>
      <c r="G9" s="10"/>
      <c r="H9" s="19" t="s">
        <v>205</v>
      </c>
      <c r="I9" s="32">
        <v>9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232</v>
      </c>
      <c r="B10" s="18"/>
      <c r="C10" s="18"/>
      <c r="D10" s="18"/>
      <c r="E10" s="36">
        <f>360+360+180+360+360</f>
        <v>1620</v>
      </c>
      <c r="F10" s="18"/>
      <c r="G10" s="10"/>
      <c r="H10" s="19" t="s">
        <v>206</v>
      </c>
      <c r="I10" s="32">
        <v>17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190</v>
      </c>
      <c r="B11" s="18"/>
      <c r="C11" s="18"/>
      <c r="D11" s="18"/>
      <c r="E11" s="36">
        <f>112+520</f>
        <v>632</v>
      </c>
      <c r="F11" s="18"/>
      <c r="G11" s="10"/>
      <c r="H11" s="19" t="s">
        <v>137</v>
      </c>
      <c r="I11" s="32">
        <v>3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233</v>
      </c>
      <c r="B12" s="18"/>
      <c r="C12" s="18"/>
      <c r="D12" s="18"/>
      <c r="E12" s="36">
        <f>400+600+725+807</f>
        <v>2532</v>
      </c>
      <c r="F12" s="18"/>
      <c r="G12" s="10"/>
      <c r="H12" s="19" t="s">
        <v>136</v>
      </c>
      <c r="I12" s="32">
        <v>2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9</v>
      </c>
      <c r="B13" s="18"/>
      <c r="C13" s="18"/>
      <c r="D13" s="18"/>
      <c r="E13" s="36">
        <v>2</v>
      </c>
      <c r="F13" s="18"/>
      <c r="G13" s="10"/>
      <c r="H13" s="19" t="s">
        <v>128</v>
      </c>
      <c r="I13" s="32">
        <v>1</v>
      </c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235</v>
      </c>
      <c r="B14" s="18"/>
      <c r="C14" s="18"/>
      <c r="D14" s="18"/>
      <c r="E14" s="36" t="s">
        <v>236</v>
      </c>
      <c r="F14" s="18"/>
      <c r="G14" s="10"/>
      <c r="H14" s="19" t="s">
        <v>207</v>
      </c>
      <c r="I14" s="32">
        <v>1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237</v>
      </c>
      <c r="B15" s="18"/>
      <c r="C15" s="18"/>
      <c r="D15" s="6"/>
      <c r="E15" s="36">
        <v>1</v>
      </c>
      <c r="F15" s="18"/>
      <c r="G15" s="10"/>
      <c r="H15" s="19" t="s">
        <v>208</v>
      </c>
      <c r="I15" s="32">
        <v>3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238</v>
      </c>
      <c r="B16" s="18"/>
      <c r="C16" s="18"/>
      <c r="D16" s="18"/>
      <c r="E16" s="36">
        <v>1</v>
      </c>
      <c r="F16" s="18"/>
      <c r="G16" s="10"/>
      <c r="H16" s="19" t="s">
        <v>139</v>
      </c>
      <c r="I16" s="32">
        <v>4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239</v>
      </c>
      <c r="B17" s="18"/>
      <c r="C17" s="18"/>
      <c r="D17" s="18"/>
      <c r="E17" s="36" t="s">
        <v>240</v>
      </c>
      <c r="F17" s="18"/>
      <c r="G17" s="10"/>
      <c r="H17" s="19" t="s">
        <v>209</v>
      </c>
      <c r="I17" s="32">
        <v>3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241</v>
      </c>
      <c r="B18" s="6"/>
      <c r="C18" s="18"/>
      <c r="D18" s="18"/>
      <c r="E18" s="36" t="s">
        <v>242</v>
      </c>
      <c r="F18" s="18"/>
      <c r="G18" s="10"/>
      <c r="H18" s="19" t="s">
        <v>210</v>
      </c>
      <c r="I18" s="32">
        <v>4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243</v>
      </c>
      <c r="B19" s="6"/>
      <c r="C19" s="18"/>
      <c r="D19" s="18"/>
      <c r="E19" s="32" t="s">
        <v>244</v>
      </c>
      <c r="F19" s="18"/>
      <c r="G19" s="10"/>
      <c r="H19" s="19" t="s">
        <v>262</v>
      </c>
      <c r="I19" s="32">
        <v>9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245</v>
      </c>
      <c r="B20" s="18"/>
      <c r="C20" s="18"/>
      <c r="D20" s="6"/>
      <c r="E20" s="36" t="s">
        <v>246</v>
      </c>
      <c r="F20" s="18"/>
      <c r="G20" s="10"/>
      <c r="H20" s="19" t="s">
        <v>212</v>
      </c>
      <c r="I20" s="32">
        <v>5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247</v>
      </c>
      <c r="B21" s="18"/>
      <c r="C21" s="18"/>
      <c r="D21" s="6"/>
      <c r="E21" s="36" t="s">
        <v>248</v>
      </c>
      <c r="F21" s="18"/>
      <c r="G21" s="10"/>
      <c r="H21" s="19" t="s">
        <v>213</v>
      </c>
      <c r="I21" s="32">
        <v>6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249</v>
      </c>
      <c r="B22" s="18"/>
      <c r="C22" s="18"/>
      <c r="D22" s="18"/>
      <c r="E22" s="36" t="s">
        <v>250</v>
      </c>
      <c r="F22" s="18"/>
      <c r="G22" s="10"/>
      <c r="H22" s="19" t="s">
        <v>95</v>
      </c>
      <c r="I22" s="32">
        <v>4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251</v>
      </c>
      <c r="B23" s="18"/>
      <c r="C23" s="18"/>
      <c r="D23" s="18"/>
      <c r="E23" s="32" t="s">
        <v>234</v>
      </c>
      <c r="F23" s="6"/>
      <c r="G23" s="10"/>
      <c r="H23" s="19" t="s">
        <v>214</v>
      </c>
      <c r="I23" s="32">
        <v>6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252</v>
      </c>
      <c r="B24" s="18"/>
      <c r="C24" s="18"/>
      <c r="D24" s="18"/>
      <c r="E24" s="32">
        <f>180+180+180</f>
        <v>540</v>
      </c>
      <c r="F24" s="6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253</v>
      </c>
      <c r="B25" s="18"/>
      <c r="C25" s="18"/>
      <c r="D25" s="18"/>
      <c r="E25" s="32" t="s">
        <v>244</v>
      </c>
      <c r="F25" s="6"/>
      <c r="G25" s="10"/>
      <c r="H25" s="19" t="s">
        <v>130</v>
      </c>
      <c r="I25" s="32">
        <v>1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254</v>
      </c>
      <c r="B26" s="18"/>
      <c r="C26" s="18"/>
      <c r="D26" s="18"/>
      <c r="E26" s="32" t="s">
        <v>255</v>
      </c>
      <c r="F26" s="6"/>
      <c r="G26" s="10"/>
      <c r="H26" s="19" t="s">
        <v>158</v>
      </c>
      <c r="I26" s="32">
        <v>3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256</v>
      </c>
      <c r="B27" s="18"/>
      <c r="C27" s="18"/>
      <c r="D27" s="18"/>
      <c r="E27" s="32" t="s">
        <v>257</v>
      </c>
      <c r="F27" s="6"/>
      <c r="G27" s="10"/>
      <c r="H27" s="19" t="s">
        <v>215</v>
      </c>
      <c r="I27" s="32">
        <v>5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258</v>
      </c>
      <c r="B28" s="18"/>
      <c r="C28" s="18"/>
      <c r="D28" s="18"/>
      <c r="E28" s="32">
        <f>360+360+360</f>
        <v>1080</v>
      </c>
      <c r="F28" s="6"/>
      <c r="G28" s="10"/>
      <c r="H28" s="19" t="s">
        <v>216</v>
      </c>
      <c r="I28" s="32">
        <v>4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259</v>
      </c>
      <c r="B29" s="18"/>
      <c r="C29" s="18"/>
      <c r="D29" s="18"/>
      <c r="E29" s="32" t="s">
        <v>260</v>
      </c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 t="s">
        <v>261</v>
      </c>
      <c r="B30" s="18"/>
      <c r="C30" s="18"/>
      <c r="D30" s="18"/>
      <c r="E30" s="32">
        <v>4</v>
      </c>
      <c r="F30" s="6"/>
      <c r="G30" s="10"/>
      <c r="H30" s="19" t="s">
        <v>145</v>
      </c>
      <c r="I30" s="32">
        <v>6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7"/>
      <c r="F31" s="6"/>
      <c r="G31" s="10"/>
      <c r="H31" s="19" t="s">
        <v>217</v>
      </c>
      <c r="I31" s="32"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7"/>
      <c r="F32" s="6"/>
      <c r="G32" s="10"/>
      <c r="H32" s="19" t="s">
        <v>150</v>
      </c>
      <c r="I32" s="32">
        <v>3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>
        <v>3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7"/>
      <c r="F34" s="6"/>
      <c r="G34" s="10"/>
      <c r="H34" s="19" t="s">
        <v>219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7"/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7"/>
      <c r="F37" s="18"/>
      <c r="G37" s="10"/>
      <c r="H37" s="19" t="s">
        <v>222</v>
      </c>
      <c r="I37" s="32">
        <v>7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>
        <v>1</v>
      </c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12A4-7D17-4273-A3DD-69187ED3747E}">
  <dimension ref="A1:AL1000"/>
  <sheetViews>
    <sheetView zoomScale="146" zoomScaleNormal="146" workbookViewId="0">
      <selection sqref="A1:XFD1048576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18+18+72+54+54+54+54+18+54+36+36+54+54+54+36+36+54+54+36+54+54+36+36</f>
        <v>1026</v>
      </c>
      <c r="C2" s="6">
        <v>846</v>
      </c>
      <c r="D2" s="6"/>
      <c r="E2" s="36">
        <f>378+380</f>
        <v>758</v>
      </c>
      <c r="F2" s="18"/>
      <c r="G2" s="10"/>
      <c r="H2" s="19" t="s">
        <v>200</v>
      </c>
      <c r="I2" s="32"/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36+36+54+36+54+36+54+36+36+54+54+36+54+36+36+54+36+72</f>
        <v>810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264</v>
      </c>
      <c r="B4" s="18"/>
      <c r="C4" s="18"/>
      <c r="D4" s="20"/>
      <c r="E4" s="36" t="s">
        <v>265</v>
      </c>
      <c r="F4" s="18"/>
      <c r="G4" s="10"/>
      <c r="H4" s="19" t="s">
        <v>201</v>
      </c>
      <c r="I4" s="32">
        <f>2</f>
        <v>2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266</v>
      </c>
      <c r="B5" s="18"/>
      <c r="C5" s="18"/>
      <c r="D5" s="20"/>
      <c r="E5" s="36" t="s">
        <v>267</v>
      </c>
      <c r="F5" s="18"/>
      <c r="G5" s="10"/>
      <c r="H5" s="19" t="s">
        <v>202</v>
      </c>
      <c r="I5" s="32"/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268</v>
      </c>
      <c r="B6" s="18"/>
      <c r="C6" s="18"/>
      <c r="D6" s="20"/>
      <c r="E6" s="36" t="s">
        <v>269</v>
      </c>
      <c r="F6" s="18"/>
      <c r="G6" s="10"/>
      <c r="H6" s="19" t="s">
        <v>203</v>
      </c>
      <c r="I6" s="32"/>
      <c r="J6" s="18"/>
      <c r="K6" s="18"/>
      <c r="L6" s="10"/>
      <c r="M6" s="21"/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270</v>
      </c>
      <c r="B7" s="18"/>
      <c r="C7" s="18"/>
      <c r="D7" s="18"/>
      <c r="E7" s="36" t="s">
        <v>271</v>
      </c>
      <c r="F7" s="18"/>
      <c r="G7" s="10"/>
      <c r="H7" s="19" t="s">
        <v>204</v>
      </c>
      <c r="I7" s="32">
        <v>1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272</v>
      </c>
      <c r="B8" s="18"/>
      <c r="C8" s="18"/>
      <c r="D8" s="18"/>
      <c r="E8" s="36" t="s">
        <v>260</v>
      </c>
      <c r="F8" s="18"/>
      <c r="G8" s="10"/>
      <c r="H8" s="19" t="s">
        <v>152</v>
      </c>
      <c r="I8" s="32"/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273</v>
      </c>
      <c r="B9" s="18" t="s">
        <v>274</v>
      </c>
      <c r="C9" s="18"/>
      <c r="D9" s="18"/>
      <c r="E9" s="36"/>
      <c r="F9" s="18"/>
      <c r="G9" s="10"/>
      <c r="H9" s="19" t="s">
        <v>205</v>
      </c>
      <c r="I9" s="32">
        <v>1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275</v>
      </c>
      <c r="B10" s="18" t="s">
        <v>276</v>
      </c>
      <c r="C10" s="18"/>
      <c r="D10" s="18"/>
      <c r="E10" s="36"/>
      <c r="F10" s="18"/>
      <c r="G10" s="10"/>
      <c r="H10" s="19" t="s">
        <v>206</v>
      </c>
      <c r="I10" s="32">
        <f>2</f>
        <v>2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12</v>
      </c>
      <c r="B11" s="18" t="s">
        <v>276</v>
      </c>
      <c r="C11" s="18"/>
      <c r="D11" s="18"/>
      <c r="E11" s="36"/>
      <c r="F11" s="18"/>
      <c r="G11" s="10"/>
      <c r="H11" s="19" t="s">
        <v>137</v>
      </c>
      <c r="I11" s="32">
        <v>1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277</v>
      </c>
      <c r="B12" s="18"/>
      <c r="C12" s="18"/>
      <c r="D12" s="18"/>
      <c r="E12" s="20" t="s">
        <v>278</v>
      </c>
      <c r="F12" s="18"/>
      <c r="G12" s="10"/>
      <c r="H12" s="19" t="s">
        <v>136</v>
      </c>
      <c r="I12" s="32"/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279</v>
      </c>
      <c r="B13" s="18"/>
      <c r="C13" s="18"/>
      <c r="D13" s="18"/>
      <c r="E13" s="36">
        <v>1</v>
      </c>
      <c r="F13" s="18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280</v>
      </c>
      <c r="B14" s="18"/>
      <c r="C14" s="18"/>
      <c r="D14" s="18"/>
      <c r="E14" s="36" t="s">
        <v>281</v>
      </c>
      <c r="F14" s="18"/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282</v>
      </c>
      <c r="B15" s="18"/>
      <c r="C15" s="18"/>
      <c r="D15" s="6"/>
      <c r="E15" s="36" t="s">
        <v>281</v>
      </c>
      <c r="F15" s="18"/>
      <c r="G15" s="10"/>
      <c r="H15" s="19" t="s">
        <v>208</v>
      </c>
      <c r="I15" s="32">
        <f>1</f>
        <v>1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283</v>
      </c>
      <c r="B16" s="18"/>
      <c r="C16" s="18"/>
      <c r="D16" s="18"/>
      <c r="E16" s="36" t="s">
        <v>284</v>
      </c>
      <c r="F16" s="18"/>
      <c r="G16" s="10"/>
      <c r="H16" s="19" t="s">
        <v>139</v>
      </c>
      <c r="I16" s="32">
        <v>1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18"/>
      <c r="G17" s="10"/>
      <c r="H17" s="19" t="s">
        <v>209</v>
      </c>
      <c r="I17" s="32"/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18"/>
      <c r="G18" s="10"/>
      <c r="H18" s="19" t="s">
        <v>210</v>
      </c>
      <c r="I18" s="32"/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18"/>
      <c r="G19" s="10"/>
      <c r="H19" s="19" t="s">
        <v>262</v>
      </c>
      <c r="I19" s="32"/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18"/>
      <c r="G20" s="10"/>
      <c r="H20" s="19" t="s">
        <v>212</v>
      </c>
      <c r="I20" s="32"/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18"/>
      <c r="G21" s="10"/>
      <c r="H21" s="19" t="s">
        <v>213</v>
      </c>
      <c r="I21" s="32">
        <v>2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18"/>
      <c r="G22" s="10"/>
      <c r="H22" s="19" t="s">
        <v>95</v>
      </c>
      <c r="I22" s="32">
        <v>2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6"/>
      <c r="G23" s="10"/>
      <c r="H23" s="19" t="s">
        <v>214</v>
      </c>
      <c r="I23" s="32">
        <v>1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6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6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6"/>
      <c r="G26" s="10"/>
      <c r="H26" s="19" t="s">
        <v>158</v>
      </c>
      <c r="I26" s="32"/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6"/>
      <c r="G27" s="10"/>
      <c r="H27" s="19" t="s">
        <v>215</v>
      </c>
      <c r="I27" s="32">
        <v>1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7"/>
      <c r="F31" s="6"/>
      <c r="G31" s="10"/>
      <c r="H31" s="19" t="s">
        <v>217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7"/>
      <c r="F32" s="6"/>
      <c r="G32" s="10"/>
      <c r="H32" s="19" t="s">
        <v>150</v>
      </c>
      <c r="I32" s="32">
        <v>2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7"/>
      <c r="F34" s="6"/>
      <c r="G34" s="10"/>
      <c r="H34" s="19" t="s">
        <v>219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7"/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7"/>
      <c r="F37" s="18"/>
      <c r="G37" s="10"/>
      <c r="H37" s="19" t="s">
        <v>222</v>
      </c>
      <c r="I37" s="32">
        <v>1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3EE-EE94-4F7C-9542-2704801F3AD9}">
  <dimension ref="A1:AL1000"/>
  <sheetViews>
    <sheetView zoomScale="107" zoomScaleNormal="107" workbookViewId="0">
      <selection activeCell="O14" sqref="O14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198+54+54+90+72+54+1350</f>
        <v>1872</v>
      </c>
      <c r="C2" s="6">
        <v>2880</v>
      </c>
      <c r="D2" s="6"/>
      <c r="E2" s="36">
        <v>1188</v>
      </c>
      <c r="F2" s="18"/>
      <c r="G2" s="10"/>
      <c r="H2" s="19" t="s">
        <v>200</v>
      </c>
      <c r="I2" s="32">
        <f>1+1</f>
        <v>2</v>
      </c>
      <c r="J2" s="18"/>
      <c r="K2" s="20"/>
      <c r="L2" s="10"/>
      <c r="M2" s="21" t="s">
        <v>99</v>
      </c>
      <c r="N2" s="22"/>
      <c r="O2" s="40">
        <v>400</v>
      </c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126+36+36+72+72+54+1152</f>
        <v>1548</v>
      </c>
      <c r="C3" s="18"/>
      <c r="D3" s="6"/>
      <c r="E3" s="36"/>
      <c r="F3" s="6"/>
      <c r="G3" s="10"/>
      <c r="H3" s="19" t="s">
        <v>201</v>
      </c>
      <c r="I3" s="32">
        <f>1+2+7</f>
        <v>10</v>
      </c>
      <c r="J3" s="20"/>
      <c r="K3" s="18"/>
      <c r="L3" s="10"/>
      <c r="M3" s="21" t="s">
        <v>106</v>
      </c>
      <c r="N3" s="22"/>
      <c r="O3" s="23">
        <v>1</v>
      </c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285</v>
      </c>
      <c r="B4" s="18"/>
      <c r="C4" s="18"/>
      <c r="D4" s="20"/>
      <c r="E4" s="36">
        <v>2250</v>
      </c>
      <c r="F4" s="18"/>
      <c r="G4" s="10"/>
      <c r="H4" s="19" t="s">
        <v>202</v>
      </c>
      <c r="I4" s="32">
        <f>1+1</f>
        <v>2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286</v>
      </c>
      <c r="B5" s="18"/>
      <c r="C5" s="18"/>
      <c r="D5" s="20"/>
      <c r="E5" s="41">
        <v>5</v>
      </c>
      <c r="F5" s="18"/>
      <c r="G5" s="10"/>
      <c r="H5" s="19" t="s">
        <v>203</v>
      </c>
      <c r="I5" s="32">
        <f>1</f>
        <v>1</v>
      </c>
      <c r="J5" s="18"/>
      <c r="K5" s="18"/>
      <c r="L5" s="10"/>
      <c r="M5" s="21" t="s">
        <v>223</v>
      </c>
      <c r="N5" s="22"/>
      <c r="O5" s="23">
        <v>150</v>
      </c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287</v>
      </c>
      <c r="B6" s="18"/>
      <c r="C6" s="18"/>
      <c r="D6" s="20"/>
      <c r="E6" s="41">
        <v>5</v>
      </c>
      <c r="F6" s="18"/>
      <c r="G6" s="10"/>
      <c r="H6" s="19" t="s">
        <v>204</v>
      </c>
      <c r="I6" s="32"/>
      <c r="J6" s="18"/>
      <c r="K6" s="18"/>
      <c r="L6" s="10"/>
      <c r="M6" s="21" t="s">
        <v>124</v>
      </c>
      <c r="N6" s="22"/>
      <c r="O6" s="23">
        <v>50</v>
      </c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288</v>
      </c>
      <c r="B7" s="18"/>
      <c r="C7" s="18"/>
      <c r="D7" s="18"/>
      <c r="E7" s="36">
        <v>5</v>
      </c>
      <c r="F7" s="18"/>
      <c r="G7" s="10"/>
      <c r="H7" s="19" t="s">
        <v>152</v>
      </c>
      <c r="I7" s="32"/>
      <c r="J7" s="18"/>
      <c r="K7" s="18"/>
      <c r="L7" s="10"/>
      <c r="M7" s="21" t="s">
        <v>295</v>
      </c>
      <c r="N7" s="22"/>
      <c r="O7" s="42">
        <v>1</v>
      </c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289</v>
      </c>
      <c r="B8" s="18"/>
      <c r="C8" s="18"/>
      <c r="D8" s="18"/>
      <c r="E8" s="36">
        <f>180+370+180+180+360+180</f>
        <v>1450</v>
      </c>
      <c r="F8" s="18"/>
      <c r="G8" s="10"/>
      <c r="H8" s="19" t="s">
        <v>205</v>
      </c>
      <c r="I8" s="32">
        <f>1+1</f>
        <v>2</v>
      </c>
      <c r="J8" s="18"/>
      <c r="K8" s="18"/>
      <c r="L8" s="10"/>
      <c r="M8" s="21" t="s">
        <v>296</v>
      </c>
      <c r="N8" s="22"/>
      <c r="O8" s="42">
        <v>1</v>
      </c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290</v>
      </c>
      <c r="B9" s="18"/>
      <c r="C9" s="18"/>
      <c r="D9" s="18"/>
      <c r="E9" s="36">
        <f>370</f>
        <v>370</v>
      </c>
      <c r="F9" s="18"/>
      <c r="G9" s="10"/>
      <c r="H9" s="19" t="s">
        <v>206</v>
      </c>
      <c r="I9" s="32">
        <f>1+1+3+1+1</f>
        <v>7</v>
      </c>
      <c r="J9" s="18"/>
      <c r="K9" s="18"/>
      <c r="L9" s="10"/>
      <c r="M9" s="21" t="s">
        <v>297</v>
      </c>
      <c r="N9" s="22"/>
      <c r="O9" s="42">
        <v>1</v>
      </c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291</v>
      </c>
      <c r="B10" s="18"/>
      <c r="C10" s="18"/>
      <c r="D10" s="18"/>
      <c r="E10" s="36">
        <f>180+180</f>
        <v>360</v>
      </c>
      <c r="F10" s="18"/>
      <c r="G10" s="10"/>
      <c r="H10" s="19" t="s">
        <v>137</v>
      </c>
      <c r="I10" s="32">
        <f>2</f>
        <v>2</v>
      </c>
      <c r="J10" s="18"/>
      <c r="K10" s="18"/>
      <c r="L10" s="10"/>
      <c r="M10" s="28" t="s">
        <v>298</v>
      </c>
      <c r="N10" s="22"/>
      <c r="O10" s="42">
        <v>1</v>
      </c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292</v>
      </c>
      <c r="B11" s="18"/>
      <c r="C11" s="18"/>
      <c r="D11" s="18"/>
      <c r="E11" s="36" t="s">
        <v>293</v>
      </c>
      <c r="F11" s="18"/>
      <c r="G11" s="10"/>
      <c r="H11" s="19" t="s">
        <v>136</v>
      </c>
      <c r="I11" s="32">
        <f>2+2+1+2+1</f>
        <v>8</v>
      </c>
      <c r="J11" s="18"/>
      <c r="K11" s="18"/>
      <c r="L11" s="10"/>
      <c r="M11" s="21" t="s">
        <v>299</v>
      </c>
      <c r="N11" s="22"/>
      <c r="O11" s="42">
        <v>1</v>
      </c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294</v>
      </c>
      <c r="B12" s="20">
        <f>230</f>
        <v>230</v>
      </c>
      <c r="C12" s="18"/>
      <c r="D12" s="18"/>
      <c r="E12" s="20"/>
      <c r="F12" s="18"/>
      <c r="G12" s="10"/>
      <c r="H12" s="19" t="s">
        <v>128</v>
      </c>
      <c r="I12" s="32">
        <f>2</f>
        <v>2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/>
      <c r="B13" s="18"/>
      <c r="C13" s="18"/>
      <c r="D13" s="18"/>
      <c r="E13" s="36"/>
      <c r="F13" s="18"/>
      <c r="G13" s="10"/>
      <c r="H13" s="19" t="s">
        <v>207</v>
      </c>
      <c r="I13" s="32">
        <f>1</f>
        <v>1</v>
      </c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18"/>
      <c r="G14" s="10"/>
      <c r="H14" s="19" t="s">
        <v>208</v>
      </c>
      <c r="I14" s="32">
        <f>2</f>
        <v>2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18"/>
      <c r="G15" s="10"/>
      <c r="H15" s="19" t="s">
        <v>139</v>
      </c>
      <c r="I15" s="32">
        <f>1</f>
        <v>1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18"/>
      <c r="G16" s="10"/>
      <c r="H16" s="19" t="s">
        <v>209</v>
      </c>
      <c r="I16" s="32">
        <f>1+1</f>
        <v>2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18"/>
      <c r="G17" s="10"/>
      <c r="H17" s="19" t="s">
        <v>210</v>
      </c>
      <c r="I17" s="32">
        <f>1+2</f>
        <v>3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18"/>
      <c r="G18" s="10"/>
      <c r="H18" s="19" t="s">
        <v>262</v>
      </c>
      <c r="I18" s="32">
        <f>1+1+1</f>
        <v>3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18"/>
      <c r="G19" s="10"/>
      <c r="H19" s="19" t="s">
        <v>212</v>
      </c>
      <c r="I19" s="32">
        <f>1+1</f>
        <v>2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18"/>
      <c r="G20" s="10"/>
      <c r="H20" s="19" t="s">
        <v>213</v>
      </c>
      <c r="I20" s="32">
        <f>1+1+1</f>
        <v>3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18"/>
      <c r="G21" s="10"/>
      <c r="H21" s="19" t="s">
        <v>95</v>
      </c>
      <c r="I21" s="32"/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18"/>
      <c r="G22" s="10"/>
      <c r="H22" s="19" t="s">
        <v>214</v>
      </c>
      <c r="I22" s="32">
        <f>1</f>
        <v>1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6"/>
      <c r="G23" s="10"/>
      <c r="H23" s="19" t="s">
        <v>113</v>
      </c>
      <c r="I23" s="32">
        <f>1</f>
        <v>1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6"/>
      <c r="G24" s="10"/>
      <c r="H24" s="19" t="s">
        <v>130</v>
      </c>
      <c r="I24" s="32">
        <f>1</f>
        <v>1</v>
      </c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6"/>
      <c r="G25" s="10"/>
      <c r="H25" s="19" t="s">
        <v>158</v>
      </c>
      <c r="I25" s="32">
        <f>1+2+1</f>
        <v>4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6"/>
      <c r="G26" s="10"/>
      <c r="H26" s="19" t="s">
        <v>215</v>
      </c>
      <c r="I26" s="32">
        <f>1+1+1</f>
        <v>3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6"/>
      <c r="G27" s="10"/>
      <c r="H27" s="19" t="s">
        <v>216</v>
      </c>
      <c r="I27" s="32">
        <f>1+1+1</f>
        <v>3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154</v>
      </c>
      <c r="I28" s="32">
        <f>1+1</f>
        <v>2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145</v>
      </c>
      <c r="I29" s="32">
        <f>1</f>
        <v>1</v>
      </c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217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7"/>
      <c r="F31" s="6"/>
      <c r="G31" s="10"/>
      <c r="H31" s="19" t="s">
        <v>150</v>
      </c>
      <c r="I31" s="32">
        <f>1</f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7"/>
      <c r="F32" s="6"/>
      <c r="G32" s="10"/>
      <c r="H32" s="19" t="s">
        <v>218</v>
      </c>
      <c r="I32" s="32"/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219</v>
      </c>
      <c r="I33" s="32">
        <f>1</f>
        <v>1</v>
      </c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7"/>
      <c r="F34" s="6"/>
      <c r="G34" s="10"/>
      <c r="H34" s="19" t="s">
        <v>220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7"/>
      <c r="F35" s="6"/>
      <c r="G35" s="10"/>
      <c r="H35" s="19" t="s">
        <v>221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222</v>
      </c>
      <c r="I36" s="32">
        <f>1+2+2</f>
        <v>5</v>
      </c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7"/>
      <c r="F37" s="18"/>
      <c r="G37" s="10"/>
      <c r="H37" s="19" t="s">
        <v>107</v>
      </c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/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  <ignoredErrors>
    <ignoredError sqref="I11 I13:I14 I19 I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7E21-72FC-46FA-905C-974FAD4663E9}">
  <dimension ref="A1:AL1000"/>
  <sheetViews>
    <sheetView workbookViewId="0">
      <selection sqref="A1:XFD1048576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v>414</v>
      </c>
      <c r="C2" s="6">
        <v>1080</v>
      </c>
      <c r="D2" s="6"/>
      <c r="E2" s="36">
        <v>216</v>
      </c>
      <c r="F2" s="18"/>
      <c r="G2" s="10"/>
      <c r="H2" s="19" t="s">
        <v>200</v>
      </c>
      <c r="I2" s="32">
        <v>2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v>324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290</v>
      </c>
      <c r="B4" s="18"/>
      <c r="C4" s="18"/>
      <c r="D4" s="20"/>
      <c r="E4" s="36">
        <v>360</v>
      </c>
      <c r="F4" s="18"/>
      <c r="G4" s="10"/>
      <c r="H4" s="19" t="s">
        <v>201</v>
      </c>
      <c r="I4" s="32">
        <v>4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266</v>
      </c>
      <c r="B5" s="18"/>
      <c r="C5" s="18"/>
      <c r="D5" s="20"/>
      <c r="E5" s="36">
        <v>300</v>
      </c>
      <c r="F5" s="18"/>
      <c r="G5" s="10"/>
      <c r="H5" s="19" t="s">
        <v>202</v>
      </c>
      <c r="I5" s="32">
        <v>1</v>
      </c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300</v>
      </c>
      <c r="B6" s="18"/>
      <c r="C6" s="18"/>
      <c r="D6" s="20"/>
      <c r="E6" s="36">
        <v>200</v>
      </c>
      <c r="F6" s="18"/>
      <c r="G6" s="10"/>
      <c r="H6" s="19" t="s">
        <v>203</v>
      </c>
      <c r="I6" s="32">
        <v>1</v>
      </c>
      <c r="J6" s="18"/>
      <c r="K6" s="18"/>
      <c r="L6" s="10"/>
      <c r="M6" s="21"/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287</v>
      </c>
      <c r="B7" s="18"/>
      <c r="C7" s="18"/>
      <c r="D7" s="18"/>
      <c r="E7" s="36">
        <v>200</v>
      </c>
      <c r="F7" s="18"/>
      <c r="G7" s="10"/>
      <c r="H7" s="19" t="s">
        <v>204</v>
      </c>
      <c r="I7" s="32"/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288</v>
      </c>
      <c r="B8" s="18"/>
      <c r="C8" s="18"/>
      <c r="D8" s="18"/>
      <c r="E8" s="36">
        <v>200</v>
      </c>
      <c r="F8" s="18"/>
      <c r="G8" s="10"/>
      <c r="H8" s="19" t="s">
        <v>152</v>
      </c>
      <c r="I8" s="32"/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301</v>
      </c>
      <c r="B9" s="18"/>
      <c r="C9" s="18"/>
      <c r="D9" s="18"/>
      <c r="E9" s="36">
        <v>200</v>
      </c>
      <c r="F9" s="18"/>
      <c r="G9" s="10"/>
      <c r="H9" s="19" t="s">
        <v>205</v>
      </c>
      <c r="I9" s="32">
        <v>1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302</v>
      </c>
      <c r="B10" s="18"/>
      <c r="C10" s="18"/>
      <c r="D10" s="18"/>
      <c r="E10" s="36">
        <v>200</v>
      </c>
      <c r="F10" s="18"/>
      <c r="G10" s="10"/>
      <c r="H10" s="19" t="s">
        <v>206</v>
      </c>
      <c r="I10" s="32">
        <v>1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303</v>
      </c>
      <c r="B11" s="18"/>
      <c r="C11" s="18"/>
      <c r="D11" s="18"/>
      <c r="E11" s="36">
        <v>200</v>
      </c>
      <c r="F11" s="18"/>
      <c r="G11" s="10"/>
      <c r="H11" s="19" t="s">
        <v>137</v>
      </c>
      <c r="I11" s="32"/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/>
      <c r="B12" s="18"/>
      <c r="C12" s="18"/>
      <c r="D12" s="18"/>
      <c r="E12" s="20"/>
      <c r="F12" s="18"/>
      <c r="G12" s="10"/>
      <c r="H12" s="19" t="s">
        <v>136</v>
      </c>
      <c r="I12" s="32">
        <v>1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/>
      <c r="B13" s="18"/>
      <c r="C13" s="18"/>
      <c r="D13" s="18"/>
      <c r="E13" s="36"/>
      <c r="F13" s="18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/>
      <c r="B14" s="18"/>
      <c r="C14" s="18"/>
      <c r="D14" s="18"/>
      <c r="E14" s="36"/>
      <c r="F14" s="18"/>
      <c r="G14" s="10"/>
      <c r="H14" s="19" t="s">
        <v>207</v>
      </c>
      <c r="I14" s="32"/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/>
      <c r="B15" s="18"/>
      <c r="C15" s="18"/>
      <c r="D15" s="6"/>
      <c r="E15" s="36"/>
      <c r="F15" s="18"/>
      <c r="G15" s="10"/>
      <c r="H15" s="19" t="s">
        <v>208</v>
      </c>
      <c r="I15" s="32"/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/>
      <c r="B16" s="18"/>
      <c r="C16" s="18"/>
      <c r="D16" s="18"/>
      <c r="E16" s="36"/>
      <c r="F16" s="18"/>
      <c r="G16" s="10"/>
      <c r="H16" s="19" t="s">
        <v>139</v>
      </c>
      <c r="I16" s="32"/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/>
      <c r="B17" s="18"/>
      <c r="C17" s="18"/>
      <c r="D17" s="18"/>
      <c r="E17" s="36"/>
      <c r="F17" s="18"/>
      <c r="G17" s="10"/>
      <c r="H17" s="19" t="s">
        <v>209</v>
      </c>
      <c r="I17" s="32"/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/>
      <c r="B18" s="6"/>
      <c r="C18" s="18"/>
      <c r="D18" s="18"/>
      <c r="E18" s="36"/>
      <c r="F18" s="18"/>
      <c r="G18" s="10"/>
      <c r="H18" s="19" t="s">
        <v>210</v>
      </c>
      <c r="I18" s="32"/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/>
      <c r="B19" s="6"/>
      <c r="C19" s="18"/>
      <c r="D19" s="18"/>
      <c r="E19" s="32"/>
      <c r="F19" s="18"/>
      <c r="G19" s="10"/>
      <c r="H19" s="19" t="s">
        <v>262</v>
      </c>
      <c r="I19" s="32">
        <v>1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/>
      <c r="B20" s="18"/>
      <c r="C20" s="18"/>
      <c r="D20" s="6"/>
      <c r="E20" s="36"/>
      <c r="F20" s="18"/>
      <c r="G20" s="10"/>
      <c r="H20" s="19" t="s">
        <v>212</v>
      </c>
      <c r="I20" s="32"/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/>
      <c r="B21" s="18"/>
      <c r="C21" s="18"/>
      <c r="D21" s="6"/>
      <c r="E21" s="36"/>
      <c r="F21" s="18"/>
      <c r="G21" s="10"/>
      <c r="H21" s="19" t="s">
        <v>213</v>
      </c>
      <c r="I21" s="32"/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/>
      <c r="B22" s="18"/>
      <c r="C22" s="18"/>
      <c r="D22" s="18"/>
      <c r="E22" s="36"/>
      <c r="F22" s="18"/>
      <c r="G22" s="10"/>
      <c r="H22" s="19" t="s">
        <v>95</v>
      </c>
      <c r="I22" s="32"/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/>
      <c r="B23" s="18"/>
      <c r="C23" s="18"/>
      <c r="D23" s="18"/>
      <c r="E23" s="32"/>
      <c r="F23" s="6"/>
      <c r="G23" s="10"/>
      <c r="H23" s="19" t="s">
        <v>214</v>
      </c>
      <c r="I23" s="32"/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/>
      <c r="B24" s="18"/>
      <c r="C24" s="18"/>
      <c r="D24" s="18"/>
      <c r="E24" s="32"/>
      <c r="F24" s="6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/>
      <c r="B25" s="18"/>
      <c r="C25" s="18"/>
      <c r="D25" s="18"/>
      <c r="E25" s="32"/>
      <c r="F25" s="6"/>
      <c r="G25" s="10"/>
      <c r="H25" s="19" t="s">
        <v>130</v>
      </c>
      <c r="I25" s="32"/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/>
      <c r="B26" s="18"/>
      <c r="C26" s="18"/>
      <c r="D26" s="18"/>
      <c r="E26" s="32"/>
      <c r="F26" s="6"/>
      <c r="G26" s="10"/>
      <c r="H26" s="19" t="s">
        <v>158</v>
      </c>
      <c r="I26" s="32">
        <v>2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/>
      <c r="B27" s="18"/>
      <c r="C27" s="18"/>
      <c r="D27" s="18"/>
      <c r="E27" s="32"/>
      <c r="F27" s="6"/>
      <c r="G27" s="10"/>
      <c r="H27" s="19" t="s">
        <v>215</v>
      </c>
      <c r="I27" s="32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/>
      <c r="B28" s="18"/>
      <c r="C28" s="18"/>
      <c r="D28" s="18"/>
      <c r="E28" s="32"/>
      <c r="F28" s="6"/>
      <c r="G28" s="10"/>
      <c r="H28" s="19" t="s">
        <v>216</v>
      </c>
      <c r="I28" s="32"/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/>
      <c r="B29" s="18"/>
      <c r="C29" s="18"/>
      <c r="D29" s="18"/>
      <c r="E29" s="32"/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/>
      <c r="B30" s="18"/>
      <c r="C30" s="18"/>
      <c r="D30" s="18"/>
      <c r="E30" s="32"/>
      <c r="F30" s="6"/>
      <c r="G30" s="10"/>
      <c r="H30" s="19" t="s">
        <v>145</v>
      </c>
      <c r="I30" s="32"/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/>
      <c r="B31" s="18"/>
      <c r="C31" s="18"/>
      <c r="D31" s="18"/>
      <c r="E31" s="37"/>
      <c r="F31" s="6"/>
      <c r="G31" s="10"/>
      <c r="H31" s="19" t="s">
        <v>217</v>
      </c>
      <c r="I31" s="32">
        <v>1</v>
      </c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/>
      <c r="B32" s="18"/>
      <c r="C32" s="18"/>
      <c r="D32" s="18"/>
      <c r="E32" s="37"/>
      <c r="F32" s="6"/>
      <c r="G32" s="10"/>
      <c r="H32" s="19" t="s">
        <v>150</v>
      </c>
      <c r="I32" s="32"/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/>
      <c r="B33" s="18"/>
      <c r="C33" s="18"/>
      <c r="D33" s="18"/>
      <c r="E33" s="36"/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/>
      <c r="B34" s="18"/>
      <c r="C34" s="18"/>
      <c r="D34" s="18"/>
      <c r="E34" s="37"/>
      <c r="F34" s="6"/>
      <c r="G34" s="10"/>
      <c r="H34" s="19" t="s">
        <v>219</v>
      </c>
      <c r="I34" s="32"/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/>
      <c r="B35" s="18"/>
      <c r="C35" s="18"/>
      <c r="D35" s="18"/>
      <c r="E35" s="37"/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/>
      <c r="B36" s="18"/>
      <c r="C36" s="18"/>
      <c r="D36" s="18"/>
      <c r="E36" s="36"/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/>
      <c r="B37" s="6"/>
      <c r="C37" s="18"/>
      <c r="D37" s="18"/>
      <c r="E37" s="37"/>
      <c r="F37" s="18"/>
      <c r="G37" s="10"/>
      <c r="H37" s="19" t="s">
        <v>222</v>
      </c>
      <c r="I37" s="32"/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/>
      <c r="B38" s="18"/>
      <c r="C38" s="18"/>
      <c r="D38" s="6"/>
      <c r="E38" s="36"/>
      <c r="F38" s="18"/>
      <c r="G38" s="10"/>
      <c r="H38" s="19" t="s">
        <v>107</v>
      </c>
      <c r="I38" s="32"/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/>
      <c r="B39" s="18"/>
      <c r="C39" s="18"/>
      <c r="D39" s="18"/>
      <c r="E39" s="36"/>
      <c r="F39" s="18"/>
      <c r="G39" s="10"/>
      <c r="H39" s="19"/>
      <c r="I39" s="32"/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/>
      <c r="B40" s="18"/>
      <c r="C40" s="18"/>
      <c r="D40" s="18"/>
      <c r="E40" s="36"/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/>
      <c r="B41" s="18"/>
      <c r="C41" s="18"/>
      <c r="D41" s="18"/>
      <c r="E41" s="36"/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/>
      <c r="B42" s="18"/>
      <c r="C42" s="18"/>
      <c r="D42" s="18"/>
      <c r="E42" s="36"/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/>
      <c r="B43" s="18"/>
      <c r="C43" s="18"/>
      <c r="D43" s="18"/>
      <c r="E43" s="36"/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/>
      <c r="B44" s="18"/>
      <c r="C44" s="18"/>
      <c r="D44" s="18"/>
      <c r="E44" s="36"/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/>
      <c r="B45" s="18"/>
      <c r="C45" s="18"/>
      <c r="D45" s="18"/>
      <c r="E45" s="36"/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/>
      <c r="B46" s="18"/>
      <c r="C46" s="18"/>
      <c r="D46" s="18"/>
      <c r="E46" s="37"/>
      <c r="F46" s="6"/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3366-615C-4E0F-9B05-90A073361957}">
  <dimension ref="A1:AL1000"/>
  <sheetViews>
    <sheetView workbookViewId="0">
      <selection activeCell="D14" sqref="D14"/>
    </sheetView>
  </sheetViews>
  <sheetFormatPr defaultColWidth="12.6328125" defaultRowHeight="12.5"/>
  <cols>
    <col min="1" max="1" width="21.90625" customWidth="1"/>
    <col min="5" max="5" width="12.6328125" style="39"/>
    <col min="8" max="8" width="22.54296875" customWidth="1"/>
    <col min="9" max="9" width="12.6328125" style="34"/>
    <col min="11" max="11" width="14.453125" customWidth="1"/>
    <col min="13" max="13" width="16.453125" customWidth="1"/>
    <col min="15" max="15" width="16.36328125" customWidth="1"/>
    <col min="16" max="16" width="14.1796875" customWidth="1"/>
  </cols>
  <sheetData>
    <row r="1" spans="1:38" ht="39.65" customHeight="1">
      <c r="A1" s="1" t="s">
        <v>0</v>
      </c>
      <c r="B1" s="2" t="s">
        <v>1</v>
      </c>
      <c r="C1" s="2" t="s">
        <v>2</v>
      </c>
      <c r="D1" s="2" t="s">
        <v>3</v>
      </c>
      <c r="E1" s="35" t="s">
        <v>5</v>
      </c>
      <c r="F1" s="2" t="s">
        <v>6</v>
      </c>
      <c r="G1" s="10"/>
      <c r="H1" s="11" t="s">
        <v>199</v>
      </c>
      <c r="I1" s="31" t="s">
        <v>87</v>
      </c>
      <c r="J1" s="13" t="s">
        <v>88</v>
      </c>
      <c r="K1" s="14" t="s">
        <v>89</v>
      </c>
      <c r="L1" s="10"/>
      <c r="M1" s="15" t="s">
        <v>90</v>
      </c>
      <c r="N1" s="16" t="s">
        <v>91</v>
      </c>
      <c r="O1" s="16" t="s">
        <v>92</v>
      </c>
      <c r="P1" s="16" t="s">
        <v>93</v>
      </c>
      <c r="Q1" s="16" t="s">
        <v>94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5.75" customHeight="1">
      <c r="A2" s="4" t="s">
        <v>179</v>
      </c>
      <c r="B2" s="6">
        <f>54+136+54+54+18+108+72+36+54+90+108+36+36+54+54+18+72+36+90+72+108+18+72+72+108+54+72+108+136+72+18+72+54</f>
        <v>2216</v>
      </c>
      <c r="C2" s="6">
        <v>3456</v>
      </c>
      <c r="D2" s="6"/>
      <c r="E2" s="36">
        <v>1350</v>
      </c>
      <c r="F2" s="18"/>
      <c r="G2" s="10"/>
      <c r="H2" s="19" t="s">
        <v>200</v>
      </c>
      <c r="I2" s="32">
        <v>7</v>
      </c>
      <c r="J2" s="18"/>
      <c r="K2" s="20"/>
      <c r="L2" s="10"/>
      <c r="M2" s="21" t="s">
        <v>99</v>
      </c>
      <c r="N2" s="22"/>
      <c r="O2" s="40"/>
      <c r="P2" s="24"/>
      <c r="Q2" s="25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5.75" customHeight="1">
      <c r="A3" s="4" t="s">
        <v>180</v>
      </c>
      <c r="B3" s="6">
        <f>54+136+54+18+54+36+90+36+54+54+36+36+72+36+72+72+18+90+54+90+108+54+108+18+72+54+72+54</f>
        <v>1702</v>
      </c>
      <c r="C3" s="18"/>
      <c r="D3" s="6"/>
      <c r="E3" s="36"/>
      <c r="F3" s="6"/>
      <c r="G3" s="10"/>
      <c r="H3" s="19"/>
      <c r="I3" s="32"/>
      <c r="J3" s="20"/>
      <c r="K3" s="18"/>
      <c r="L3" s="10"/>
      <c r="M3" s="21" t="s">
        <v>106</v>
      </c>
      <c r="N3" s="22"/>
      <c r="O3" s="23"/>
      <c r="P3" s="24"/>
      <c r="Q3" s="25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ht="15.75" customHeight="1">
      <c r="A4" s="4" t="s">
        <v>305</v>
      </c>
      <c r="B4" s="18" t="s">
        <v>304</v>
      </c>
      <c r="C4" s="18"/>
      <c r="D4" s="20"/>
      <c r="E4" s="36">
        <f>219</f>
        <v>219</v>
      </c>
      <c r="F4" s="18"/>
      <c r="G4" s="10"/>
      <c r="H4" s="19" t="s">
        <v>201</v>
      </c>
      <c r="I4" s="32">
        <v>14</v>
      </c>
      <c r="J4" s="20"/>
      <c r="K4" s="18"/>
      <c r="L4" s="10"/>
      <c r="M4" s="21" t="s">
        <v>191</v>
      </c>
      <c r="N4" s="22"/>
      <c r="O4" s="23"/>
      <c r="P4" s="24"/>
      <c r="Q4" s="2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15.75" customHeight="1">
      <c r="A5" s="4" t="s">
        <v>306</v>
      </c>
      <c r="B5" s="18"/>
      <c r="C5" s="18"/>
      <c r="D5" s="20"/>
      <c r="E5" s="36">
        <f>220</f>
        <v>220</v>
      </c>
      <c r="F5" s="18"/>
      <c r="G5" s="10"/>
      <c r="H5" s="19" t="s">
        <v>202</v>
      </c>
      <c r="I5" s="32">
        <v>3</v>
      </c>
      <c r="J5" s="18"/>
      <c r="K5" s="18"/>
      <c r="L5" s="10"/>
      <c r="M5" s="21" t="s">
        <v>223</v>
      </c>
      <c r="N5" s="22"/>
      <c r="O5" s="23"/>
      <c r="P5" s="24"/>
      <c r="Q5" s="25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ht="15.75" customHeight="1">
      <c r="A6" s="4" t="s">
        <v>253</v>
      </c>
      <c r="B6" s="18"/>
      <c r="C6" s="18"/>
      <c r="D6" s="20"/>
      <c r="E6" s="36">
        <f>70</f>
        <v>70</v>
      </c>
      <c r="F6" s="18"/>
      <c r="G6" s="10"/>
      <c r="H6" s="19" t="s">
        <v>203</v>
      </c>
      <c r="I6" s="32">
        <v>2</v>
      </c>
      <c r="J6" s="18"/>
      <c r="K6" s="18"/>
      <c r="L6" s="10"/>
      <c r="M6" s="21"/>
      <c r="N6" s="22"/>
      <c r="O6" s="23"/>
      <c r="P6" s="24"/>
      <c r="Q6" s="25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customHeight="1">
      <c r="A7" s="4" t="s">
        <v>307</v>
      </c>
      <c r="B7" s="18"/>
      <c r="C7" s="18"/>
      <c r="D7" s="18"/>
      <c r="E7" s="36">
        <f>100+100</f>
        <v>200</v>
      </c>
      <c r="F7" s="18"/>
      <c r="G7" s="10"/>
      <c r="H7" s="19" t="s">
        <v>204</v>
      </c>
      <c r="I7" s="32">
        <v>4</v>
      </c>
      <c r="J7" s="18"/>
      <c r="K7" s="18"/>
      <c r="L7" s="10"/>
      <c r="M7" s="21"/>
      <c r="N7" s="22"/>
      <c r="O7" s="26"/>
      <c r="P7" s="27"/>
      <c r="Q7" s="25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customHeight="1">
      <c r="A8" s="4" t="s">
        <v>308</v>
      </c>
      <c r="B8" s="18"/>
      <c r="C8" s="18"/>
      <c r="D8" s="18"/>
      <c r="E8" s="36">
        <f>200</f>
        <v>200</v>
      </c>
      <c r="F8" s="18"/>
      <c r="G8" s="10"/>
      <c r="H8" s="19" t="s">
        <v>152</v>
      </c>
      <c r="I8" s="32">
        <v>2</v>
      </c>
      <c r="J8" s="18"/>
      <c r="K8" s="18"/>
      <c r="L8" s="10"/>
      <c r="M8" s="21"/>
      <c r="N8" s="22"/>
      <c r="O8" s="26"/>
      <c r="P8" s="27"/>
      <c r="Q8" s="25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.75" customHeight="1">
      <c r="A9" s="4" t="s">
        <v>309</v>
      </c>
      <c r="B9" s="18"/>
      <c r="C9" s="18"/>
      <c r="D9" s="18"/>
      <c r="E9" s="36">
        <f>300</f>
        <v>300</v>
      </c>
      <c r="F9" s="18"/>
      <c r="G9" s="10"/>
      <c r="H9" s="19" t="s">
        <v>205</v>
      </c>
      <c r="I9" s="32">
        <v>5</v>
      </c>
      <c r="J9" s="18"/>
      <c r="K9" s="18"/>
      <c r="L9" s="10"/>
      <c r="M9" s="21"/>
      <c r="N9" s="22"/>
      <c r="O9" s="26"/>
      <c r="P9" s="27"/>
      <c r="Q9" s="2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15.75" customHeight="1">
      <c r="A10" s="4" t="s">
        <v>310</v>
      </c>
      <c r="B10" s="18"/>
      <c r="C10" s="18"/>
      <c r="D10" s="18"/>
      <c r="E10" s="36">
        <f>200+200+73</f>
        <v>473</v>
      </c>
      <c r="F10" s="18"/>
      <c r="G10" s="10"/>
      <c r="H10" s="19" t="s">
        <v>206</v>
      </c>
      <c r="I10" s="32">
        <v>7</v>
      </c>
      <c r="J10" s="18"/>
      <c r="K10" s="18"/>
      <c r="L10" s="10"/>
      <c r="M10" s="28"/>
      <c r="N10" s="22"/>
      <c r="O10" s="26"/>
      <c r="P10" s="27"/>
      <c r="Q10" s="2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5.75" customHeight="1">
      <c r="A11" s="4" t="s">
        <v>311</v>
      </c>
      <c r="B11" s="18"/>
      <c r="C11" s="18"/>
      <c r="D11" s="18"/>
      <c r="E11" s="36">
        <f>200+160</f>
        <v>360</v>
      </c>
      <c r="F11" s="18"/>
      <c r="G11" s="10"/>
      <c r="H11" s="19" t="s">
        <v>137</v>
      </c>
      <c r="I11" s="32">
        <v>6</v>
      </c>
      <c r="J11" s="18"/>
      <c r="K11" s="18"/>
      <c r="L11" s="10"/>
      <c r="M11" s="21"/>
      <c r="N11" s="22"/>
      <c r="O11" s="26"/>
      <c r="P11" s="27"/>
      <c r="Q11" s="2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customHeight="1">
      <c r="A12" s="4" t="s">
        <v>312</v>
      </c>
      <c r="B12" s="18"/>
      <c r="C12" s="18"/>
      <c r="D12" s="18"/>
      <c r="E12" s="20">
        <f>400</f>
        <v>400</v>
      </c>
      <c r="F12" s="18"/>
      <c r="G12" s="10"/>
      <c r="H12" s="19" t="s">
        <v>136</v>
      </c>
      <c r="I12" s="32">
        <v>2</v>
      </c>
      <c r="J12" s="18"/>
      <c r="K12" s="18"/>
      <c r="L12" s="10"/>
      <c r="M12" s="21"/>
      <c r="N12" s="22"/>
      <c r="O12" s="26"/>
      <c r="P12" s="27"/>
      <c r="Q12" s="2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5.75" customHeight="1">
      <c r="A13" s="4" t="s">
        <v>313</v>
      </c>
      <c r="B13" s="18"/>
      <c r="C13" s="18"/>
      <c r="D13" s="18"/>
      <c r="E13" s="36">
        <f>200</f>
        <v>200</v>
      </c>
      <c r="F13" s="18"/>
      <c r="G13" s="10"/>
      <c r="H13" s="19" t="s">
        <v>128</v>
      </c>
      <c r="I13" s="32"/>
      <c r="J13" s="18"/>
      <c r="K13" s="18"/>
      <c r="L13" s="10"/>
      <c r="M13" s="21"/>
      <c r="N13" s="22"/>
      <c r="O13" s="26"/>
      <c r="P13" s="27"/>
      <c r="Q13" s="2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15.75" customHeight="1">
      <c r="A14" s="4" t="s">
        <v>314</v>
      </c>
      <c r="B14" s="18"/>
      <c r="C14" s="18"/>
      <c r="D14" s="18"/>
      <c r="E14" s="36">
        <f>250</f>
        <v>250</v>
      </c>
      <c r="F14" s="18"/>
      <c r="G14" s="10"/>
      <c r="H14" s="19" t="s">
        <v>207</v>
      </c>
      <c r="I14" s="32">
        <v>1</v>
      </c>
      <c r="J14" s="18"/>
      <c r="K14" s="18"/>
      <c r="L14" s="10"/>
      <c r="M14" s="21"/>
      <c r="N14" s="22"/>
      <c r="O14" s="26"/>
      <c r="P14" s="27"/>
      <c r="Q14" s="2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15.75" customHeight="1">
      <c r="A15" s="4" t="s">
        <v>315</v>
      </c>
      <c r="B15" s="18"/>
      <c r="C15" s="18"/>
      <c r="D15" s="6"/>
      <c r="E15" s="36">
        <f>26</f>
        <v>26</v>
      </c>
      <c r="F15" s="18"/>
      <c r="G15" s="10"/>
      <c r="H15" s="19" t="s">
        <v>208</v>
      </c>
      <c r="I15" s="32">
        <v>4</v>
      </c>
      <c r="J15" s="18"/>
      <c r="K15" s="18"/>
      <c r="L15" s="10"/>
      <c r="M15" s="21"/>
      <c r="N15" s="22"/>
      <c r="O15" s="26"/>
      <c r="P15" s="27"/>
      <c r="Q15" s="2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15.75" customHeight="1">
      <c r="A16" s="4" t="s">
        <v>316</v>
      </c>
      <c r="B16" s="18"/>
      <c r="C16" s="18"/>
      <c r="D16" s="18"/>
      <c r="E16" s="36">
        <f>783</f>
        <v>783</v>
      </c>
      <c r="F16" s="18"/>
      <c r="G16" s="10"/>
      <c r="H16" s="19" t="s">
        <v>139</v>
      </c>
      <c r="I16" s="32">
        <v>4</v>
      </c>
      <c r="J16" s="20"/>
      <c r="K16" s="18"/>
      <c r="L16" s="10"/>
      <c r="M16" s="21"/>
      <c r="N16" s="22"/>
      <c r="O16" s="26"/>
      <c r="P16" s="27"/>
      <c r="Q16" s="2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5.75" customHeight="1">
      <c r="A17" s="4" t="s">
        <v>245</v>
      </c>
      <c r="B17" s="18"/>
      <c r="C17" s="18"/>
      <c r="D17" s="18"/>
      <c r="E17" s="36">
        <f>683</f>
        <v>683</v>
      </c>
      <c r="F17" s="18"/>
      <c r="G17" s="10"/>
      <c r="H17" s="19" t="s">
        <v>209</v>
      </c>
      <c r="I17" s="32">
        <v>9</v>
      </c>
      <c r="J17" s="18"/>
      <c r="K17" s="18"/>
      <c r="L17" s="10"/>
      <c r="M17" s="21"/>
      <c r="N17" s="22"/>
      <c r="O17" s="26"/>
      <c r="P17" s="27"/>
      <c r="Q17" s="2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.75" customHeight="1">
      <c r="A18" s="4" t="s">
        <v>317</v>
      </c>
      <c r="B18" s="6"/>
      <c r="C18" s="18"/>
      <c r="D18" s="18"/>
      <c r="E18" s="36">
        <f>125</f>
        <v>125</v>
      </c>
      <c r="F18" s="18"/>
      <c r="G18" s="10"/>
      <c r="H18" s="19" t="s">
        <v>210</v>
      </c>
      <c r="I18" s="32">
        <v>1</v>
      </c>
      <c r="J18" s="18"/>
      <c r="K18" s="18"/>
      <c r="L18" s="10"/>
      <c r="M18" s="21"/>
      <c r="N18" s="22"/>
      <c r="O18" s="26"/>
      <c r="P18" s="24"/>
      <c r="Q18" s="2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customHeight="1">
      <c r="A19" s="4" t="s">
        <v>318</v>
      </c>
      <c r="B19" s="6"/>
      <c r="C19" s="18"/>
      <c r="D19" s="18"/>
      <c r="E19" s="32">
        <f>677</f>
        <v>677</v>
      </c>
      <c r="F19" s="18"/>
      <c r="G19" s="10"/>
      <c r="H19" s="19" t="s">
        <v>262</v>
      </c>
      <c r="I19" s="32">
        <v>11</v>
      </c>
      <c r="J19" s="18"/>
      <c r="K19" s="18"/>
      <c r="L19" s="10"/>
      <c r="M19" s="19"/>
      <c r="N19" s="22"/>
      <c r="O19" s="26"/>
      <c r="P19" s="24"/>
      <c r="Q19" s="2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5.75" customHeight="1">
      <c r="A20" s="4" t="s">
        <v>319</v>
      </c>
      <c r="B20" s="18"/>
      <c r="C20" s="18"/>
      <c r="D20" s="6"/>
      <c r="E20" s="36">
        <f>402</f>
        <v>402</v>
      </c>
      <c r="F20" s="18"/>
      <c r="G20" s="10"/>
      <c r="H20" s="19" t="s">
        <v>212</v>
      </c>
      <c r="I20" s="32">
        <v>5</v>
      </c>
      <c r="J20" s="18"/>
      <c r="K20" s="18"/>
      <c r="L20" s="10"/>
      <c r="M20" s="19"/>
      <c r="N20" s="22"/>
      <c r="O20" s="26"/>
      <c r="P20" s="24"/>
      <c r="Q20" s="2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5.75" customHeight="1">
      <c r="A21" s="4" t="s">
        <v>302</v>
      </c>
      <c r="B21" s="18"/>
      <c r="C21" s="18"/>
      <c r="D21" s="6"/>
      <c r="E21" s="36">
        <f>152</f>
        <v>152</v>
      </c>
      <c r="F21" s="18"/>
      <c r="G21" s="10"/>
      <c r="H21" s="19" t="s">
        <v>213</v>
      </c>
      <c r="I21" s="32">
        <v>6</v>
      </c>
      <c r="J21" s="20"/>
      <c r="K21" s="18"/>
      <c r="L21" s="10"/>
      <c r="M21" s="19"/>
      <c r="N21" s="22"/>
      <c r="O21" s="26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customHeight="1">
      <c r="A22" s="4" t="s">
        <v>320</v>
      </c>
      <c r="B22" s="18"/>
      <c r="C22" s="18"/>
      <c r="D22" s="18"/>
      <c r="E22" s="36">
        <f>81</f>
        <v>81</v>
      </c>
      <c r="F22" s="18"/>
      <c r="G22" s="10"/>
      <c r="H22" s="19" t="s">
        <v>95</v>
      </c>
      <c r="I22" s="32">
        <v>5</v>
      </c>
      <c r="J22" s="20"/>
      <c r="K22" s="1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5.75" customHeight="1">
      <c r="A23" s="4" t="s">
        <v>321</v>
      </c>
      <c r="B23" s="18"/>
      <c r="C23" s="18"/>
      <c r="D23" s="18"/>
      <c r="E23" s="32">
        <f>280</f>
        <v>280</v>
      </c>
      <c r="F23" s="6"/>
      <c r="G23" s="10"/>
      <c r="H23" s="19" t="s">
        <v>214</v>
      </c>
      <c r="I23" s="32">
        <v>2</v>
      </c>
      <c r="J23" s="20"/>
      <c r="K23" s="18"/>
      <c r="L23" s="10"/>
      <c r="M23" s="19"/>
      <c r="N23" s="22"/>
      <c r="O23" s="26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5.75" customHeight="1">
      <c r="A24" s="4" t="s">
        <v>322</v>
      </c>
      <c r="B24" s="18"/>
      <c r="C24" s="18"/>
      <c r="D24" s="18"/>
      <c r="E24" s="32">
        <f>187</f>
        <v>187</v>
      </c>
      <c r="F24" s="6"/>
      <c r="G24" s="10"/>
      <c r="H24" s="19" t="s">
        <v>113</v>
      </c>
      <c r="I24" s="32"/>
      <c r="J24" s="18"/>
      <c r="K24" s="18"/>
      <c r="L24" s="10"/>
      <c r="M24" s="19"/>
      <c r="N24" s="22"/>
      <c r="O24" s="26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5.75" customHeight="1">
      <c r="A25" s="4" t="s">
        <v>323</v>
      </c>
      <c r="B25" s="18"/>
      <c r="C25" s="18"/>
      <c r="D25" s="18"/>
      <c r="E25" s="32">
        <f>100</f>
        <v>100</v>
      </c>
      <c r="F25" s="6"/>
      <c r="G25" s="10"/>
      <c r="H25" s="19" t="s">
        <v>130</v>
      </c>
      <c r="I25" s="32">
        <v>3</v>
      </c>
      <c r="J25" s="18"/>
      <c r="K25" s="18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15.75" customHeight="1">
      <c r="A26" s="4" t="s">
        <v>324</v>
      </c>
      <c r="B26" s="18"/>
      <c r="C26" s="18"/>
      <c r="D26" s="18"/>
      <c r="E26" s="32">
        <f>250</f>
        <v>250</v>
      </c>
      <c r="F26" s="6"/>
      <c r="G26" s="10"/>
      <c r="H26" s="19" t="s">
        <v>158</v>
      </c>
      <c r="I26" s="32">
        <v>7</v>
      </c>
      <c r="J26" s="18"/>
      <c r="K26" s="18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15.75" customHeight="1">
      <c r="A27" s="4" t="s">
        <v>325</v>
      </c>
      <c r="B27" s="18"/>
      <c r="C27" s="18"/>
      <c r="D27" s="18"/>
      <c r="E27" s="32">
        <f>400</f>
        <v>400</v>
      </c>
      <c r="F27" s="6"/>
      <c r="G27" s="10"/>
      <c r="H27" s="19" t="s">
        <v>215</v>
      </c>
      <c r="I27" s="32">
        <v>4</v>
      </c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15.75" customHeight="1">
      <c r="A28" s="4" t="s">
        <v>326</v>
      </c>
      <c r="B28" s="18"/>
      <c r="C28" s="18"/>
      <c r="D28" s="18"/>
      <c r="E28" s="32">
        <f>50</f>
        <v>50</v>
      </c>
      <c r="F28" s="6"/>
      <c r="G28" s="10"/>
      <c r="H28" s="19" t="s">
        <v>216</v>
      </c>
      <c r="I28" s="32">
        <v>4</v>
      </c>
      <c r="J28" s="18"/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15.75" customHeight="1">
      <c r="A29" s="4" t="s">
        <v>327</v>
      </c>
      <c r="B29" s="18"/>
      <c r="C29" s="18"/>
      <c r="D29" s="18"/>
      <c r="E29" s="32">
        <f>360</f>
        <v>360</v>
      </c>
      <c r="F29" s="6"/>
      <c r="G29" s="10"/>
      <c r="H29" s="19" t="s">
        <v>154</v>
      </c>
      <c r="I29" s="32"/>
      <c r="J29" s="18"/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15.75" customHeight="1">
      <c r="A30" s="4" t="s">
        <v>328</v>
      </c>
      <c r="B30" s="18"/>
      <c r="C30" s="18"/>
      <c r="D30" s="18"/>
      <c r="E30" s="32">
        <f>720+160+360</f>
        <v>1240</v>
      </c>
      <c r="F30" s="6"/>
      <c r="G30" s="10"/>
      <c r="H30" s="19" t="s">
        <v>145</v>
      </c>
      <c r="I30" s="32">
        <v>2</v>
      </c>
      <c r="J30" s="18"/>
      <c r="K30" s="18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15.75" customHeight="1">
      <c r="A31" s="4" t="s">
        <v>329</v>
      </c>
      <c r="B31" s="18"/>
      <c r="C31" s="18"/>
      <c r="D31" s="18"/>
      <c r="E31" s="32">
        <f>210</f>
        <v>210</v>
      </c>
      <c r="F31" s="6"/>
      <c r="G31" s="10"/>
      <c r="H31" s="19" t="s">
        <v>217</v>
      </c>
      <c r="I31" s="32"/>
      <c r="J31" s="18"/>
      <c r="K31" s="1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14.5">
      <c r="A32" s="4" t="s">
        <v>300</v>
      </c>
      <c r="B32" s="18"/>
      <c r="C32" s="18"/>
      <c r="D32" s="18"/>
      <c r="E32" s="32">
        <f>300</f>
        <v>300</v>
      </c>
      <c r="F32" s="6"/>
      <c r="G32" s="10"/>
      <c r="H32" s="19" t="s">
        <v>150</v>
      </c>
      <c r="I32" s="32">
        <v>6</v>
      </c>
      <c r="J32" s="18"/>
      <c r="K32" s="18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14.5">
      <c r="A33" s="4" t="s">
        <v>286</v>
      </c>
      <c r="B33" s="18"/>
      <c r="C33" s="18"/>
      <c r="D33" s="18"/>
      <c r="E33" s="36">
        <f>200</f>
        <v>200</v>
      </c>
      <c r="F33" s="6"/>
      <c r="G33" s="10"/>
      <c r="H33" s="19" t="s">
        <v>218</v>
      </c>
      <c r="I33" s="32"/>
      <c r="J33" s="18"/>
      <c r="K33" s="18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14.5">
      <c r="A34" s="4" t="s">
        <v>330</v>
      </c>
      <c r="B34" s="18"/>
      <c r="C34" s="18"/>
      <c r="D34" s="18"/>
      <c r="E34" s="32">
        <v>2</v>
      </c>
      <c r="F34" s="6"/>
      <c r="G34" s="10"/>
      <c r="H34" s="19" t="s">
        <v>219</v>
      </c>
      <c r="I34" s="32">
        <v>1</v>
      </c>
      <c r="J34" s="18"/>
      <c r="K34" s="18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ht="14.5">
      <c r="A35" s="4" t="s">
        <v>331</v>
      </c>
      <c r="B35" s="18"/>
      <c r="C35" s="18"/>
      <c r="D35" s="18"/>
      <c r="E35" s="32">
        <f>180</f>
        <v>180</v>
      </c>
      <c r="F35" s="6"/>
      <c r="G35" s="10"/>
      <c r="H35" s="19" t="s">
        <v>220</v>
      </c>
      <c r="I35" s="32"/>
      <c r="J35" s="18"/>
      <c r="K35" s="18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4.5">
      <c r="A36" s="4" t="s">
        <v>332</v>
      </c>
      <c r="B36" s="18"/>
      <c r="C36" s="18"/>
      <c r="D36" s="18"/>
      <c r="E36" s="36">
        <f>700</f>
        <v>700</v>
      </c>
      <c r="F36" s="18"/>
      <c r="G36" s="10"/>
      <c r="H36" s="19" t="s">
        <v>221</v>
      </c>
      <c r="I36" s="32"/>
      <c r="J36" s="18"/>
      <c r="K36" s="18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4.5">
      <c r="A37" s="4" t="s">
        <v>333</v>
      </c>
      <c r="B37" s="6"/>
      <c r="C37" s="18"/>
      <c r="D37" s="18"/>
      <c r="E37" s="32">
        <f>350</f>
        <v>350</v>
      </c>
      <c r="F37" s="18"/>
      <c r="G37" s="10"/>
      <c r="H37" s="19" t="s">
        <v>222</v>
      </c>
      <c r="I37" s="32">
        <v>7</v>
      </c>
      <c r="J37" s="18"/>
      <c r="K37" s="18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4.5">
      <c r="A38" s="4" t="s">
        <v>334</v>
      </c>
      <c r="B38" s="18"/>
      <c r="C38" s="18"/>
      <c r="D38" s="6"/>
      <c r="E38" s="36">
        <f>248</f>
        <v>248</v>
      </c>
      <c r="F38" s="18"/>
      <c r="G38" s="10"/>
      <c r="H38" s="19" t="s">
        <v>107</v>
      </c>
      <c r="I38" s="32">
        <v>1</v>
      </c>
      <c r="J38" s="18"/>
      <c r="K38" s="18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ht="14.5">
      <c r="A39" s="4" t="s">
        <v>335</v>
      </c>
      <c r="B39" s="18"/>
      <c r="C39" s="18"/>
      <c r="D39" s="18"/>
      <c r="E39" s="36">
        <f>150</f>
        <v>150</v>
      </c>
      <c r="F39" s="18"/>
      <c r="G39" s="10"/>
      <c r="H39" s="19" t="s">
        <v>342</v>
      </c>
      <c r="I39" s="32">
        <v>1</v>
      </c>
      <c r="J39" s="18"/>
      <c r="K39" s="18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ht="14.5">
      <c r="A40" s="4" t="s">
        <v>336</v>
      </c>
      <c r="B40" s="18"/>
      <c r="C40" s="18"/>
      <c r="D40" s="18"/>
      <c r="E40" s="36">
        <f>700</f>
        <v>700</v>
      </c>
      <c r="F40" s="18"/>
      <c r="G40" s="10"/>
      <c r="H40" s="19"/>
      <c r="I40" s="32"/>
      <c r="J40" s="18"/>
      <c r="K40" s="18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14.5">
      <c r="A41" s="4" t="s">
        <v>337</v>
      </c>
      <c r="B41" s="18"/>
      <c r="C41" s="18"/>
      <c r="D41" s="18"/>
      <c r="E41" s="36">
        <f>1</f>
        <v>1</v>
      </c>
      <c r="F41" s="18"/>
      <c r="G41" s="10"/>
      <c r="H41" s="19"/>
      <c r="I41" s="32"/>
      <c r="J41" s="18"/>
      <c r="K41" s="18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4.5">
      <c r="A42" s="4" t="s">
        <v>338</v>
      </c>
      <c r="B42" s="18"/>
      <c r="C42" s="18"/>
      <c r="D42" s="18"/>
      <c r="E42" s="36">
        <f>533</f>
        <v>533</v>
      </c>
      <c r="F42" s="18"/>
      <c r="G42" s="10"/>
      <c r="H42" s="19"/>
      <c r="I42" s="32"/>
      <c r="J42" s="18"/>
      <c r="K42" s="18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 ht="14.5">
      <c r="A43" s="4" t="s">
        <v>235</v>
      </c>
      <c r="B43" s="18"/>
      <c r="C43" s="18"/>
      <c r="D43" s="18"/>
      <c r="E43" s="36">
        <f>88</f>
        <v>88</v>
      </c>
      <c r="F43" s="18"/>
      <c r="G43" s="10"/>
      <c r="H43" s="19"/>
      <c r="I43" s="32"/>
      <c r="J43" s="18"/>
      <c r="K43" s="18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 ht="14.5">
      <c r="A44" s="4" t="s">
        <v>339</v>
      </c>
      <c r="B44" s="18"/>
      <c r="C44" s="18"/>
      <c r="D44" s="18"/>
      <c r="E44" s="36">
        <f>360</f>
        <v>360</v>
      </c>
      <c r="F44" s="18"/>
      <c r="G44" s="10"/>
      <c r="H44" s="19"/>
      <c r="I44" s="32"/>
      <c r="J44" s="18"/>
      <c r="K44" s="18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 ht="14.5">
      <c r="A45" s="4" t="s">
        <v>340</v>
      </c>
      <c r="B45" s="18"/>
      <c r="C45" s="18"/>
      <c r="D45" s="18"/>
      <c r="E45" s="36">
        <v>1</v>
      </c>
      <c r="F45" s="18"/>
      <c r="G45" s="10"/>
      <c r="H45" s="19"/>
      <c r="I45" s="32"/>
      <c r="J45" s="18"/>
      <c r="K45" s="18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 ht="14.5">
      <c r="A46" s="4" t="s">
        <v>341</v>
      </c>
      <c r="B46" s="18"/>
      <c r="C46" s="18"/>
      <c r="D46" s="18"/>
      <c r="E46" s="37"/>
      <c r="F46" s="6">
        <v>1</v>
      </c>
      <c r="G46" s="10"/>
      <c r="H46" s="19"/>
      <c r="I46" s="32"/>
      <c r="J46" s="18"/>
      <c r="K46" s="1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 ht="14.5">
      <c r="A47" s="4"/>
      <c r="B47" s="18"/>
      <c r="C47" s="18"/>
      <c r="D47" s="18"/>
      <c r="E47" s="37"/>
      <c r="F47" s="6"/>
      <c r="G47" s="10"/>
      <c r="H47" s="19"/>
      <c r="I47" s="32"/>
      <c r="J47" s="18"/>
      <c r="K47" s="18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 ht="14.5">
      <c r="A48" s="4"/>
      <c r="B48" s="18"/>
      <c r="C48" s="18"/>
      <c r="D48" s="18"/>
      <c r="E48" s="37"/>
      <c r="F48" s="18"/>
      <c r="G48" s="10"/>
      <c r="H48" s="19"/>
      <c r="I48" s="32"/>
      <c r="J48" s="18"/>
      <c r="K48" s="18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ht="14.5">
      <c r="A49" s="4"/>
      <c r="B49" s="18"/>
      <c r="C49" s="18"/>
      <c r="D49" s="6"/>
      <c r="E49" s="36"/>
      <c r="F49" s="18"/>
      <c r="G49" s="10"/>
      <c r="H49" s="19"/>
      <c r="I49" s="32"/>
      <c r="J49" s="18"/>
      <c r="K49" s="18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 ht="14.5">
      <c r="A50" s="4"/>
      <c r="B50" s="18"/>
      <c r="C50" s="18"/>
      <c r="D50" s="18"/>
      <c r="E50" s="36"/>
      <c r="F50" s="18"/>
      <c r="G50" s="10"/>
      <c r="H50" s="19"/>
      <c r="I50" s="32"/>
      <c r="J50" s="18"/>
      <c r="K50" s="18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 ht="14.5">
      <c r="A51" s="4"/>
      <c r="B51" s="18"/>
      <c r="C51" s="18"/>
      <c r="D51" s="18"/>
      <c r="E51" s="36"/>
      <c r="F51" s="18"/>
      <c r="G51" s="10"/>
      <c r="H51" s="19"/>
      <c r="I51" s="32"/>
      <c r="J51" s="18"/>
      <c r="K51" s="18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 ht="14.5">
      <c r="A52" s="4"/>
      <c r="B52" s="6"/>
      <c r="C52" s="18"/>
      <c r="D52" s="18"/>
      <c r="E52" s="37"/>
      <c r="F52" s="18"/>
      <c r="G52" s="10"/>
      <c r="H52" s="19"/>
      <c r="I52" s="32"/>
      <c r="J52" s="18"/>
      <c r="K52" s="18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 ht="14.5">
      <c r="A53" s="4"/>
      <c r="B53" s="18"/>
      <c r="C53" s="18"/>
      <c r="D53" s="18"/>
      <c r="E53" s="36"/>
      <c r="F53" s="18"/>
      <c r="G53" s="10"/>
      <c r="H53" s="10"/>
      <c r="I53" s="3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 ht="14.5">
      <c r="A54" s="4"/>
      <c r="B54" s="6"/>
      <c r="C54" s="18"/>
      <c r="D54" s="18"/>
      <c r="E54" s="37"/>
      <c r="F54" s="18"/>
      <c r="G54" s="10"/>
      <c r="H54" s="10"/>
      <c r="I54" s="3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 ht="14.5">
      <c r="A55" s="4"/>
      <c r="B55" s="18"/>
      <c r="C55" s="18"/>
      <c r="D55" s="18"/>
      <c r="E55" s="36"/>
      <c r="F55" s="18"/>
      <c r="G55" s="10"/>
      <c r="H55" s="10"/>
      <c r="I55" s="3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 ht="14.5">
      <c r="A56" s="4"/>
      <c r="B56" s="18"/>
      <c r="C56" s="18"/>
      <c r="D56" s="18"/>
      <c r="E56" s="36"/>
      <c r="F56" s="18"/>
      <c r="G56" s="10"/>
      <c r="H56" s="10"/>
      <c r="I56" s="3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ht="14.5">
      <c r="A57" s="4"/>
      <c r="B57" s="6"/>
      <c r="C57" s="18"/>
      <c r="D57" s="18"/>
      <c r="E57" s="37"/>
      <c r="F57" s="18"/>
      <c r="G57" s="10"/>
      <c r="H57" s="10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9"/>
      <c r="B58" s="18"/>
      <c r="C58" s="18"/>
      <c r="D58" s="18"/>
      <c r="E58" s="37"/>
      <c r="F58" s="18"/>
      <c r="G58" s="10"/>
      <c r="H58" s="10"/>
      <c r="I58" s="3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9"/>
      <c r="B59" s="18"/>
      <c r="C59" s="18"/>
      <c r="D59" s="18"/>
      <c r="E59" s="37"/>
      <c r="F59" s="18"/>
      <c r="G59" s="10"/>
      <c r="H59" s="10"/>
      <c r="I59" s="3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9"/>
      <c r="B60" s="18"/>
      <c r="C60" s="18"/>
      <c r="D60" s="18"/>
      <c r="E60" s="37"/>
      <c r="F60" s="18"/>
      <c r="G60" s="10"/>
      <c r="H60" s="10"/>
      <c r="I60" s="3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9"/>
      <c r="B61" s="18"/>
      <c r="C61" s="18"/>
      <c r="D61" s="18"/>
      <c r="E61" s="37"/>
      <c r="F61" s="18"/>
      <c r="G61" s="10"/>
      <c r="H61" s="10"/>
      <c r="I61" s="3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9"/>
      <c r="B62" s="18"/>
      <c r="C62" s="18"/>
      <c r="D62" s="18"/>
      <c r="E62" s="37"/>
      <c r="F62" s="18"/>
      <c r="G62" s="10"/>
      <c r="H62" s="10"/>
      <c r="I62" s="3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10"/>
      <c r="C63" s="10"/>
      <c r="D63" s="10"/>
      <c r="E63" s="38"/>
      <c r="F63" s="10"/>
      <c r="G63" s="10"/>
      <c r="H63" s="10"/>
      <c r="I63" s="3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10"/>
      <c r="C64" s="10"/>
      <c r="D64" s="10"/>
      <c r="E64" s="38"/>
      <c r="F64" s="10"/>
      <c r="G64" s="10"/>
      <c r="H64" s="10"/>
      <c r="I64" s="3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10"/>
      <c r="C65" s="10"/>
      <c r="D65" s="10"/>
      <c r="E65" s="38"/>
      <c r="F65" s="10"/>
      <c r="G65" s="10"/>
      <c r="H65" s="10"/>
      <c r="I65" s="3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10"/>
      <c r="C66" s="10"/>
      <c r="D66" s="10"/>
      <c r="E66" s="38"/>
      <c r="F66" s="10"/>
      <c r="G66" s="10"/>
      <c r="H66" s="10"/>
      <c r="I66" s="3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10"/>
      <c r="C67" s="10"/>
      <c r="D67" s="10"/>
      <c r="E67" s="38"/>
      <c r="F67" s="10"/>
      <c r="G67" s="10"/>
      <c r="H67" s="10"/>
      <c r="I67" s="3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10"/>
      <c r="C68" s="10"/>
      <c r="D68" s="10"/>
      <c r="E68" s="38"/>
      <c r="F68" s="10"/>
      <c r="G68" s="10"/>
      <c r="H68" s="10"/>
      <c r="I68" s="3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10"/>
      <c r="C69" s="10"/>
      <c r="D69" s="10"/>
      <c r="E69" s="38"/>
      <c r="F69" s="10"/>
      <c r="G69" s="10"/>
      <c r="H69" s="10"/>
      <c r="I69" s="3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10"/>
      <c r="C70" s="10"/>
      <c r="D70" s="10"/>
      <c r="E70" s="38"/>
      <c r="F70" s="10"/>
      <c r="G70" s="10"/>
      <c r="H70" s="10"/>
      <c r="I70" s="3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10"/>
      <c r="C71" s="10"/>
      <c r="D71" s="10"/>
      <c r="E71" s="38"/>
      <c r="F71" s="10"/>
      <c r="G71" s="10"/>
      <c r="H71" s="10"/>
      <c r="I71" s="3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10"/>
      <c r="C72" s="10"/>
      <c r="D72" s="10"/>
      <c r="E72" s="38"/>
      <c r="F72" s="10"/>
      <c r="G72" s="10"/>
      <c r="H72" s="10"/>
      <c r="I72" s="3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10"/>
      <c r="C73" s="10"/>
      <c r="D73" s="10"/>
      <c r="E73" s="38"/>
      <c r="F73" s="10"/>
      <c r="G73" s="10"/>
      <c r="H73" s="10"/>
      <c r="I73" s="3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10"/>
      <c r="C74" s="10"/>
      <c r="D74" s="10"/>
      <c r="E74" s="38"/>
      <c r="F74" s="10"/>
      <c r="G74" s="10"/>
      <c r="H74" s="10"/>
      <c r="I74" s="3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10"/>
      <c r="C75" s="10"/>
      <c r="D75" s="10"/>
      <c r="E75" s="38"/>
      <c r="F75" s="10"/>
      <c r="G75" s="10"/>
      <c r="H75" s="10"/>
      <c r="I75" s="3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10"/>
      <c r="C76" s="10"/>
      <c r="D76" s="10"/>
      <c r="E76" s="38"/>
      <c r="F76" s="10"/>
      <c r="G76" s="10"/>
      <c r="H76" s="10"/>
      <c r="I76" s="3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10"/>
      <c r="C77" s="10"/>
      <c r="D77" s="10"/>
      <c r="E77" s="38"/>
      <c r="F77" s="10"/>
      <c r="G77" s="10"/>
      <c r="H77" s="10"/>
      <c r="I77" s="3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10"/>
      <c r="C78" s="10"/>
      <c r="D78" s="10"/>
      <c r="E78" s="38"/>
      <c r="F78" s="10"/>
      <c r="G78" s="10"/>
      <c r="H78" s="10"/>
      <c r="I78" s="3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10"/>
      <c r="C79" s="10"/>
      <c r="D79" s="10"/>
      <c r="E79" s="38"/>
      <c r="F79" s="10"/>
      <c r="G79" s="10"/>
      <c r="H79" s="10"/>
      <c r="I79" s="3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10"/>
      <c r="C80" s="10"/>
      <c r="D80" s="10"/>
      <c r="E80" s="38"/>
      <c r="F80" s="10"/>
      <c r="G80" s="10"/>
      <c r="H80" s="10"/>
      <c r="I80" s="3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10"/>
      <c r="C81" s="10"/>
      <c r="D81" s="10"/>
      <c r="E81" s="38"/>
      <c r="F81" s="10"/>
      <c r="G81" s="10"/>
      <c r="H81" s="10"/>
      <c r="I81" s="3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10"/>
      <c r="C82" s="10"/>
      <c r="D82" s="10"/>
      <c r="E82" s="38"/>
      <c r="F82" s="10"/>
      <c r="G82" s="10"/>
      <c r="H82" s="10"/>
      <c r="I82" s="3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10"/>
      <c r="C83" s="10"/>
      <c r="D83" s="10"/>
      <c r="E83" s="38"/>
      <c r="F83" s="10"/>
      <c r="G83" s="10"/>
      <c r="H83" s="10"/>
      <c r="I83" s="3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10"/>
      <c r="C84" s="10"/>
      <c r="D84" s="10"/>
      <c r="E84" s="38"/>
      <c r="F84" s="10"/>
      <c r="G84" s="10"/>
      <c r="H84" s="10"/>
      <c r="I84" s="3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10"/>
      <c r="C85" s="10"/>
      <c r="D85" s="10"/>
      <c r="E85" s="38"/>
      <c r="F85" s="10"/>
      <c r="G85" s="10"/>
      <c r="H85" s="10"/>
      <c r="I85" s="3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10"/>
      <c r="C86" s="10"/>
      <c r="D86" s="10"/>
      <c r="E86" s="38"/>
      <c r="F86" s="10"/>
      <c r="G86" s="10"/>
      <c r="H86" s="10"/>
      <c r="I86" s="3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10"/>
      <c r="C87" s="10"/>
      <c r="D87" s="10"/>
      <c r="E87" s="38"/>
      <c r="F87" s="10"/>
      <c r="G87" s="10"/>
      <c r="H87" s="10"/>
      <c r="I87" s="3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10"/>
      <c r="C88" s="10"/>
      <c r="D88" s="10"/>
      <c r="E88" s="38"/>
      <c r="F88" s="10"/>
      <c r="G88" s="10"/>
      <c r="H88" s="10"/>
      <c r="I88" s="3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10"/>
      <c r="C89" s="10"/>
      <c r="D89" s="10"/>
      <c r="E89" s="38"/>
      <c r="F89" s="10"/>
      <c r="G89" s="10"/>
      <c r="H89" s="10"/>
      <c r="I89" s="3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10"/>
      <c r="C90" s="10"/>
      <c r="D90" s="10"/>
      <c r="E90" s="38"/>
      <c r="F90" s="10"/>
      <c r="G90" s="10"/>
      <c r="H90" s="10"/>
      <c r="I90" s="3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10"/>
      <c r="C91" s="10"/>
      <c r="D91" s="10"/>
      <c r="E91" s="38"/>
      <c r="F91" s="10"/>
      <c r="G91" s="10"/>
      <c r="H91" s="10"/>
      <c r="I91" s="3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10"/>
      <c r="C92" s="10"/>
      <c r="D92" s="10"/>
      <c r="E92" s="38"/>
      <c r="F92" s="10"/>
      <c r="G92" s="10"/>
      <c r="H92" s="10"/>
      <c r="I92" s="3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10"/>
      <c r="C93" s="10"/>
      <c r="D93" s="10"/>
      <c r="E93" s="38"/>
      <c r="F93" s="10"/>
      <c r="G93" s="10"/>
      <c r="H93" s="10"/>
      <c r="I93" s="3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10"/>
      <c r="C94" s="10"/>
      <c r="D94" s="10"/>
      <c r="E94" s="38"/>
      <c r="F94" s="10"/>
      <c r="G94" s="10"/>
      <c r="H94" s="10"/>
      <c r="I94" s="3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10"/>
      <c r="C95" s="10"/>
      <c r="D95" s="10"/>
      <c r="E95" s="38"/>
      <c r="F95" s="10"/>
      <c r="G95" s="10"/>
      <c r="H95" s="10"/>
      <c r="I95" s="3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10"/>
      <c r="C96" s="10"/>
      <c r="D96" s="10"/>
      <c r="E96" s="38"/>
      <c r="F96" s="10"/>
      <c r="G96" s="10"/>
      <c r="H96" s="10"/>
      <c r="I96" s="3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10"/>
      <c r="C97" s="10"/>
      <c r="D97" s="10"/>
      <c r="E97" s="38"/>
      <c r="F97" s="10"/>
      <c r="G97" s="10"/>
      <c r="H97" s="10"/>
      <c r="I97" s="3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10"/>
      <c r="C98" s="10"/>
      <c r="D98" s="10"/>
      <c r="E98" s="38"/>
      <c r="F98" s="10"/>
      <c r="G98" s="10"/>
      <c r="H98" s="10"/>
      <c r="I98" s="3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10"/>
      <c r="C99" s="10"/>
      <c r="D99" s="10"/>
      <c r="E99" s="38"/>
      <c r="F99" s="10"/>
      <c r="G99" s="10"/>
      <c r="H99" s="10"/>
      <c r="I99" s="3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10"/>
      <c r="C100" s="10"/>
      <c r="D100" s="10"/>
      <c r="E100" s="38"/>
      <c r="F100" s="10"/>
      <c r="G100" s="10"/>
      <c r="H100" s="10"/>
      <c r="I100" s="3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10"/>
      <c r="C101" s="10"/>
      <c r="D101" s="10"/>
      <c r="E101" s="38"/>
      <c r="F101" s="10"/>
      <c r="G101" s="10"/>
      <c r="H101" s="10"/>
      <c r="I101" s="3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10"/>
      <c r="C102" s="10"/>
      <c r="D102" s="10"/>
      <c r="E102" s="38"/>
      <c r="F102" s="10"/>
      <c r="G102" s="10"/>
      <c r="H102" s="10"/>
      <c r="I102" s="3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10"/>
      <c r="C103" s="10"/>
      <c r="D103" s="10"/>
      <c r="E103" s="38"/>
      <c r="F103" s="10"/>
      <c r="G103" s="10"/>
      <c r="H103" s="10"/>
      <c r="I103" s="3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10"/>
      <c r="C104" s="10"/>
      <c r="D104" s="10"/>
      <c r="E104" s="38"/>
      <c r="F104" s="10"/>
      <c r="G104" s="10"/>
      <c r="H104" s="10"/>
      <c r="I104" s="3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10"/>
      <c r="C105" s="10"/>
      <c r="D105" s="10"/>
      <c r="E105" s="38"/>
      <c r="F105" s="10"/>
      <c r="G105" s="10"/>
      <c r="H105" s="10"/>
      <c r="I105" s="3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10"/>
      <c r="C106" s="10"/>
      <c r="D106" s="10"/>
      <c r="E106" s="38"/>
      <c r="F106" s="10"/>
      <c r="G106" s="10"/>
      <c r="H106" s="10"/>
      <c r="I106" s="3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10"/>
      <c r="C107" s="10"/>
      <c r="D107" s="10"/>
      <c r="E107" s="38"/>
      <c r="F107" s="10"/>
      <c r="G107" s="10"/>
      <c r="H107" s="10"/>
      <c r="I107" s="3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10"/>
      <c r="C108" s="10"/>
      <c r="D108" s="10"/>
      <c r="E108" s="38"/>
      <c r="F108" s="10"/>
      <c r="G108" s="10"/>
      <c r="H108" s="10"/>
      <c r="I108" s="3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10"/>
      <c r="C109" s="10"/>
      <c r="D109" s="10"/>
      <c r="E109" s="38"/>
      <c r="F109" s="10"/>
      <c r="G109" s="10"/>
      <c r="H109" s="10"/>
      <c r="I109" s="3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10"/>
      <c r="C110" s="10"/>
      <c r="D110" s="10"/>
      <c r="E110" s="38"/>
      <c r="F110" s="10"/>
      <c r="G110" s="10"/>
      <c r="H110" s="10"/>
      <c r="I110" s="3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10"/>
      <c r="C111" s="10"/>
      <c r="D111" s="10"/>
      <c r="E111" s="38"/>
      <c r="F111" s="10"/>
      <c r="G111" s="10"/>
      <c r="H111" s="10"/>
      <c r="I111" s="3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10"/>
      <c r="C112" s="10"/>
      <c r="D112" s="10"/>
      <c r="E112" s="38"/>
      <c r="F112" s="10"/>
      <c r="G112" s="10"/>
      <c r="H112" s="10"/>
      <c r="I112" s="3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10"/>
      <c r="C113" s="10"/>
      <c r="D113" s="10"/>
      <c r="E113" s="38"/>
      <c r="F113" s="10"/>
      <c r="G113" s="10"/>
      <c r="H113" s="10"/>
      <c r="I113" s="3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10"/>
      <c r="C114" s="10"/>
      <c r="D114" s="10"/>
      <c r="E114" s="38"/>
      <c r="F114" s="10"/>
      <c r="G114" s="10"/>
      <c r="H114" s="10"/>
      <c r="I114" s="3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10"/>
      <c r="C115" s="10"/>
      <c r="D115" s="10"/>
      <c r="E115" s="38"/>
      <c r="F115" s="10"/>
      <c r="G115" s="10"/>
      <c r="H115" s="10"/>
      <c r="I115" s="3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10"/>
      <c r="C116" s="10"/>
      <c r="D116" s="10"/>
      <c r="E116" s="38"/>
      <c r="F116" s="10"/>
      <c r="G116" s="10"/>
      <c r="H116" s="10"/>
      <c r="I116" s="3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10"/>
      <c r="C117" s="10"/>
      <c r="D117" s="10"/>
      <c r="E117" s="38"/>
      <c r="F117" s="10"/>
      <c r="G117" s="10"/>
      <c r="H117" s="10"/>
      <c r="I117" s="3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10"/>
      <c r="C118" s="10"/>
      <c r="D118" s="10"/>
      <c r="E118" s="38"/>
      <c r="F118" s="10"/>
      <c r="G118" s="10"/>
      <c r="H118" s="10"/>
      <c r="I118" s="3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10"/>
      <c r="C119" s="10"/>
      <c r="D119" s="10"/>
      <c r="E119" s="38"/>
      <c r="F119" s="10"/>
      <c r="G119" s="10"/>
      <c r="H119" s="10"/>
      <c r="I119" s="3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10"/>
      <c r="C120" s="10"/>
      <c r="D120" s="10"/>
      <c r="E120" s="38"/>
      <c r="F120" s="10"/>
      <c r="G120" s="10"/>
      <c r="H120" s="10"/>
      <c r="I120" s="3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10"/>
      <c r="C121" s="10"/>
      <c r="D121" s="10"/>
      <c r="E121" s="38"/>
      <c r="F121" s="10"/>
      <c r="G121" s="10"/>
      <c r="H121" s="10"/>
      <c r="I121" s="3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10"/>
      <c r="C122" s="10"/>
      <c r="D122" s="10"/>
      <c r="E122" s="38"/>
      <c r="F122" s="10"/>
      <c r="G122" s="10"/>
      <c r="H122" s="10"/>
      <c r="I122" s="3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10"/>
      <c r="C123" s="10"/>
      <c r="D123" s="10"/>
      <c r="E123" s="38"/>
      <c r="F123" s="10"/>
      <c r="G123" s="10"/>
      <c r="H123" s="10"/>
      <c r="I123" s="3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>
      <c r="A124" s="10"/>
      <c r="B124" s="10"/>
      <c r="C124" s="10"/>
      <c r="D124" s="10"/>
      <c r="E124" s="38"/>
      <c r="F124" s="10"/>
      <c r="G124" s="10"/>
      <c r="H124" s="10"/>
      <c r="I124" s="3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10"/>
      <c r="C125" s="10"/>
      <c r="D125" s="10"/>
      <c r="E125" s="38"/>
      <c r="F125" s="10"/>
      <c r="G125" s="10"/>
      <c r="H125" s="10"/>
      <c r="I125" s="3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10"/>
      <c r="C126" s="10"/>
      <c r="D126" s="10"/>
      <c r="E126" s="38"/>
      <c r="F126" s="10"/>
      <c r="G126" s="10"/>
      <c r="H126" s="10"/>
      <c r="I126" s="3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10"/>
      <c r="C127" s="10"/>
      <c r="D127" s="10"/>
      <c r="E127" s="38"/>
      <c r="F127" s="10"/>
      <c r="G127" s="10"/>
      <c r="H127" s="10"/>
      <c r="I127" s="3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10"/>
      <c r="C128" s="10"/>
      <c r="D128" s="10"/>
      <c r="E128" s="38"/>
      <c r="F128" s="10"/>
      <c r="G128" s="10"/>
      <c r="H128" s="10"/>
      <c r="I128" s="3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10"/>
      <c r="C129" s="10"/>
      <c r="D129" s="10"/>
      <c r="E129" s="38"/>
      <c r="F129" s="10"/>
      <c r="G129" s="10"/>
      <c r="H129" s="10"/>
      <c r="I129" s="3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>
      <c r="A130" s="10"/>
      <c r="B130" s="10"/>
      <c r="C130" s="10"/>
      <c r="D130" s="10"/>
      <c r="E130" s="38"/>
      <c r="F130" s="10"/>
      <c r="G130" s="10"/>
      <c r="H130" s="10"/>
      <c r="I130" s="3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38"/>
      <c r="F131" s="10"/>
      <c r="G131" s="10"/>
      <c r="H131" s="10"/>
      <c r="I131" s="3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38"/>
      <c r="F132" s="10"/>
      <c r="G132" s="10"/>
      <c r="H132" s="10"/>
      <c r="I132" s="3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38"/>
      <c r="F133" s="10"/>
      <c r="G133" s="10"/>
      <c r="H133" s="10"/>
      <c r="I133" s="3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38"/>
      <c r="F134" s="10"/>
      <c r="G134" s="10"/>
      <c r="H134" s="10"/>
      <c r="I134" s="3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38"/>
      <c r="F135" s="10"/>
      <c r="G135" s="10"/>
      <c r="H135" s="10"/>
      <c r="I135" s="3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38"/>
      <c r="F136" s="10"/>
      <c r="G136" s="10"/>
      <c r="H136" s="10"/>
      <c r="I136" s="3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38"/>
      <c r="F137" s="10"/>
      <c r="G137" s="10"/>
      <c r="H137" s="10"/>
      <c r="I137" s="3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38"/>
      <c r="F138" s="10"/>
      <c r="G138" s="10"/>
      <c r="H138" s="10"/>
      <c r="I138" s="3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38"/>
      <c r="F139" s="10"/>
      <c r="G139" s="10"/>
      <c r="H139" s="10"/>
      <c r="I139" s="3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38"/>
      <c r="F140" s="10"/>
      <c r="G140" s="10"/>
      <c r="H140" s="10"/>
      <c r="I140" s="3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38"/>
      <c r="F141" s="10"/>
      <c r="G141" s="10"/>
      <c r="H141" s="10"/>
      <c r="I141" s="3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38"/>
      <c r="F142" s="10"/>
      <c r="G142" s="10"/>
      <c r="H142" s="10"/>
      <c r="I142" s="3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38"/>
      <c r="F143" s="10"/>
      <c r="G143" s="10"/>
      <c r="H143" s="10"/>
      <c r="I143" s="3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38"/>
      <c r="F144" s="10"/>
      <c r="G144" s="10"/>
      <c r="H144" s="10"/>
      <c r="I144" s="3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38"/>
      <c r="F145" s="10"/>
      <c r="G145" s="10"/>
      <c r="H145" s="10"/>
      <c r="I145" s="3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38"/>
      <c r="F146" s="10"/>
      <c r="G146" s="10"/>
      <c r="H146" s="10"/>
      <c r="I146" s="3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38"/>
      <c r="F147" s="10"/>
      <c r="G147" s="10"/>
      <c r="H147" s="10"/>
      <c r="I147" s="3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38"/>
      <c r="F148" s="10"/>
      <c r="G148" s="10"/>
      <c r="H148" s="10"/>
      <c r="I148" s="3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38"/>
      <c r="F149" s="10"/>
      <c r="G149" s="10"/>
      <c r="H149" s="10"/>
      <c r="I149" s="3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38"/>
      <c r="F150" s="10"/>
      <c r="G150" s="10"/>
      <c r="H150" s="10"/>
      <c r="I150" s="3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38"/>
      <c r="F151" s="10"/>
      <c r="G151" s="10"/>
      <c r="H151" s="10"/>
      <c r="I151" s="3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38"/>
      <c r="F152" s="10"/>
      <c r="G152" s="10"/>
      <c r="H152" s="10"/>
      <c r="I152" s="3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38"/>
      <c r="F153" s="10"/>
      <c r="G153" s="10"/>
      <c r="H153" s="10"/>
      <c r="I153" s="3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38"/>
      <c r="F154" s="10"/>
      <c r="G154" s="10"/>
      <c r="H154" s="10"/>
      <c r="I154" s="3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38"/>
      <c r="F155" s="10"/>
      <c r="G155" s="10"/>
      <c r="H155" s="10"/>
      <c r="I155" s="3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38"/>
      <c r="F156" s="10"/>
      <c r="G156" s="10"/>
      <c r="H156" s="10"/>
      <c r="I156" s="3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38"/>
      <c r="F157" s="10"/>
      <c r="G157" s="10"/>
      <c r="H157" s="10"/>
      <c r="I157" s="3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38"/>
      <c r="F158" s="10"/>
      <c r="G158" s="10"/>
      <c r="H158" s="10"/>
      <c r="I158" s="3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38"/>
      <c r="F159" s="10"/>
      <c r="G159" s="10"/>
      <c r="H159" s="10"/>
      <c r="I159" s="3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38"/>
      <c r="F160" s="10"/>
      <c r="G160" s="10"/>
      <c r="H160" s="10"/>
      <c r="I160" s="3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38"/>
      <c r="F161" s="10"/>
      <c r="G161" s="10"/>
      <c r="H161" s="10"/>
      <c r="I161" s="3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38"/>
      <c r="F162" s="10"/>
      <c r="G162" s="10"/>
      <c r="H162" s="10"/>
      <c r="I162" s="3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38"/>
      <c r="F163" s="10"/>
      <c r="G163" s="10"/>
      <c r="H163" s="10"/>
      <c r="I163" s="3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38"/>
      <c r="F164" s="10"/>
      <c r="G164" s="10"/>
      <c r="H164" s="10"/>
      <c r="I164" s="3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38"/>
      <c r="F165" s="10"/>
      <c r="G165" s="10"/>
      <c r="H165" s="10"/>
      <c r="I165" s="3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38"/>
      <c r="F166" s="10"/>
      <c r="G166" s="10"/>
      <c r="H166" s="10"/>
      <c r="I166" s="3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38"/>
      <c r="F167" s="10"/>
      <c r="G167" s="10"/>
      <c r="H167" s="10"/>
      <c r="I167" s="3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38"/>
      <c r="F168" s="10"/>
      <c r="G168" s="10"/>
      <c r="H168" s="10"/>
      <c r="I168" s="3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38"/>
      <c r="F169" s="10"/>
      <c r="G169" s="10"/>
      <c r="H169" s="10"/>
      <c r="I169" s="3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38"/>
      <c r="F170" s="10"/>
      <c r="G170" s="10"/>
      <c r="H170" s="10"/>
      <c r="I170" s="3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38"/>
      <c r="F171" s="10"/>
      <c r="G171" s="10"/>
      <c r="H171" s="10"/>
      <c r="I171" s="3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38"/>
      <c r="F172" s="10"/>
      <c r="G172" s="10"/>
      <c r="H172" s="10"/>
      <c r="I172" s="3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38"/>
      <c r="F173" s="10"/>
      <c r="G173" s="10"/>
      <c r="H173" s="10"/>
      <c r="I173" s="3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38"/>
      <c r="F174" s="10"/>
      <c r="G174" s="10"/>
      <c r="H174" s="10"/>
      <c r="I174" s="3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38"/>
      <c r="F175" s="10"/>
      <c r="G175" s="10"/>
      <c r="H175" s="10"/>
      <c r="I175" s="3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38"/>
      <c r="F176" s="10"/>
      <c r="G176" s="10"/>
      <c r="H176" s="10"/>
      <c r="I176" s="3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38"/>
      <c r="F177" s="10"/>
      <c r="G177" s="10"/>
      <c r="H177" s="10"/>
      <c r="I177" s="3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38"/>
      <c r="F178" s="10"/>
      <c r="G178" s="10"/>
      <c r="H178" s="10"/>
      <c r="I178" s="3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38"/>
      <c r="F179" s="10"/>
      <c r="G179" s="10"/>
      <c r="H179" s="10"/>
      <c r="I179" s="3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38"/>
      <c r="F180" s="10"/>
      <c r="G180" s="10"/>
      <c r="H180" s="10"/>
      <c r="I180" s="3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38"/>
      <c r="F181" s="10"/>
      <c r="G181" s="10"/>
      <c r="H181" s="10"/>
      <c r="I181" s="3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>
      <c r="A182" s="10"/>
      <c r="B182" s="10"/>
      <c r="C182" s="10"/>
      <c r="D182" s="10"/>
      <c r="E182" s="38"/>
      <c r="F182" s="10"/>
      <c r="G182" s="10"/>
      <c r="H182" s="10"/>
      <c r="I182" s="3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>
      <c r="A183" s="10"/>
      <c r="B183" s="10"/>
      <c r="C183" s="10"/>
      <c r="D183" s="10"/>
      <c r="E183" s="38"/>
      <c r="F183" s="10"/>
      <c r="G183" s="10"/>
      <c r="H183" s="10"/>
      <c r="I183" s="3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>
      <c r="A184" s="10"/>
      <c r="B184" s="10"/>
      <c r="C184" s="10"/>
      <c r="D184" s="10"/>
      <c r="E184" s="38"/>
      <c r="F184" s="10"/>
      <c r="G184" s="10"/>
      <c r="H184" s="10"/>
      <c r="I184" s="3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>
      <c r="A185" s="10"/>
      <c r="B185" s="10"/>
      <c r="C185" s="10"/>
      <c r="D185" s="10"/>
      <c r="E185" s="38"/>
      <c r="F185" s="10"/>
      <c r="G185" s="10"/>
      <c r="H185" s="10"/>
      <c r="I185" s="3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>
      <c r="A186" s="10"/>
      <c r="B186" s="10"/>
      <c r="C186" s="10"/>
      <c r="D186" s="10"/>
      <c r="E186" s="38"/>
      <c r="F186" s="10"/>
      <c r="G186" s="10"/>
      <c r="H186" s="10"/>
      <c r="I186" s="3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>
      <c r="A187" s="10"/>
      <c r="B187" s="10"/>
      <c r="C187" s="10"/>
      <c r="D187" s="10"/>
      <c r="E187" s="38"/>
      <c r="F187" s="10"/>
      <c r="G187" s="10"/>
      <c r="H187" s="10"/>
      <c r="I187" s="3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>
      <c r="A188" s="10"/>
      <c r="B188" s="10"/>
      <c r="C188" s="10"/>
      <c r="D188" s="10"/>
      <c r="E188" s="38"/>
      <c r="F188" s="10"/>
      <c r="G188" s="10"/>
      <c r="H188" s="10"/>
      <c r="I188" s="3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>
      <c r="A189" s="10"/>
      <c r="B189" s="10"/>
      <c r="C189" s="10"/>
      <c r="D189" s="10"/>
      <c r="E189" s="38"/>
      <c r="F189" s="10"/>
      <c r="G189" s="10"/>
      <c r="H189" s="10"/>
      <c r="I189" s="3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>
      <c r="A190" s="10"/>
      <c r="B190" s="10"/>
      <c r="C190" s="10"/>
      <c r="D190" s="10"/>
      <c r="E190" s="38"/>
      <c r="F190" s="10"/>
      <c r="G190" s="10"/>
      <c r="H190" s="10"/>
      <c r="I190" s="3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>
      <c r="A191" s="10"/>
      <c r="B191" s="10"/>
      <c r="C191" s="10"/>
      <c r="D191" s="10"/>
      <c r="E191" s="38"/>
      <c r="F191" s="10"/>
      <c r="G191" s="10"/>
      <c r="H191" s="10"/>
      <c r="I191" s="3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>
      <c r="A192" s="10"/>
      <c r="B192" s="10"/>
      <c r="C192" s="10"/>
      <c r="D192" s="10"/>
      <c r="E192" s="38"/>
      <c r="F192" s="10"/>
      <c r="G192" s="10"/>
      <c r="H192" s="10"/>
      <c r="I192" s="3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>
      <c r="A193" s="10"/>
      <c r="B193" s="10"/>
      <c r="C193" s="10"/>
      <c r="D193" s="10"/>
      <c r="E193" s="38"/>
      <c r="F193" s="10"/>
      <c r="G193" s="10"/>
      <c r="H193" s="10"/>
      <c r="I193" s="3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>
      <c r="A194" s="10"/>
      <c r="B194" s="10"/>
      <c r="C194" s="10"/>
      <c r="D194" s="10"/>
      <c r="E194" s="38"/>
      <c r="F194" s="10"/>
      <c r="G194" s="10"/>
      <c r="H194" s="10"/>
      <c r="I194" s="3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>
      <c r="A195" s="10"/>
      <c r="B195" s="10"/>
      <c r="C195" s="10"/>
      <c r="D195" s="10"/>
      <c r="E195" s="38"/>
      <c r="F195" s="10"/>
      <c r="G195" s="10"/>
      <c r="H195" s="10"/>
      <c r="I195" s="3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>
      <c r="A196" s="10"/>
      <c r="B196" s="10"/>
      <c r="C196" s="10"/>
      <c r="D196" s="10"/>
      <c r="E196" s="38"/>
      <c r="F196" s="10"/>
      <c r="G196" s="10"/>
      <c r="H196" s="10"/>
      <c r="I196" s="3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>
      <c r="A197" s="10"/>
      <c r="B197" s="10"/>
      <c r="C197" s="10"/>
      <c r="D197" s="10"/>
      <c r="E197" s="38"/>
      <c r="F197" s="10"/>
      <c r="G197" s="10"/>
      <c r="H197" s="10"/>
      <c r="I197" s="3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>
      <c r="A198" s="10"/>
      <c r="B198" s="10"/>
      <c r="C198" s="10"/>
      <c r="D198" s="10"/>
      <c r="E198" s="38"/>
      <c r="F198" s="10"/>
      <c r="G198" s="10"/>
      <c r="H198" s="10"/>
      <c r="I198" s="3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>
      <c r="A199" s="10"/>
      <c r="B199" s="10"/>
      <c r="C199" s="10"/>
      <c r="D199" s="10"/>
      <c r="E199" s="38"/>
      <c r="F199" s="10"/>
      <c r="G199" s="10"/>
      <c r="H199" s="10"/>
      <c r="I199" s="3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>
      <c r="A200" s="10"/>
      <c r="B200" s="10"/>
      <c r="C200" s="10"/>
      <c r="D200" s="10"/>
      <c r="E200" s="38"/>
      <c r="F200" s="10"/>
      <c r="G200" s="10"/>
      <c r="H200" s="10"/>
      <c r="I200" s="3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>
      <c r="A201" s="10"/>
      <c r="B201" s="10"/>
      <c r="C201" s="10"/>
      <c r="D201" s="10"/>
      <c r="E201" s="38"/>
      <c r="F201" s="10"/>
      <c r="G201" s="10"/>
      <c r="H201" s="10"/>
      <c r="I201" s="3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>
      <c r="A202" s="10"/>
      <c r="B202" s="10"/>
      <c r="C202" s="10"/>
      <c r="D202" s="10"/>
      <c r="E202" s="38"/>
      <c r="F202" s="10"/>
      <c r="G202" s="10"/>
      <c r="H202" s="10"/>
      <c r="I202" s="3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>
      <c r="A203" s="10"/>
      <c r="B203" s="10"/>
      <c r="C203" s="10"/>
      <c r="D203" s="10"/>
      <c r="E203" s="38"/>
      <c r="F203" s="10"/>
      <c r="G203" s="10"/>
      <c r="H203" s="10"/>
      <c r="I203" s="3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>
      <c r="A204" s="10"/>
      <c r="B204" s="10"/>
      <c r="C204" s="10"/>
      <c r="D204" s="10"/>
      <c r="E204" s="38"/>
      <c r="F204" s="10"/>
      <c r="G204" s="10"/>
      <c r="H204" s="10"/>
      <c r="I204" s="3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>
      <c r="A205" s="10"/>
      <c r="B205" s="10"/>
      <c r="C205" s="10"/>
      <c r="D205" s="10"/>
      <c r="E205" s="38"/>
      <c r="F205" s="10"/>
      <c r="G205" s="10"/>
      <c r="H205" s="10"/>
      <c r="I205" s="3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>
      <c r="A206" s="10"/>
      <c r="B206" s="10"/>
      <c r="C206" s="10"/>
      <c r="D206" s="10"/>
      <c r="E206" s="38"/>
      <c r="F206" s="10"/>
      <c r="G206" s="10"/>
      <c r="H206" s="10"/>
      <c r="I206" s="3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>
      <c r="A207" s="10"/>
      <c r="B207" s="10"/>
      <c r="C207" s="10"/>
      <c r="D207" s="10"/>
      <c r="E207" s="38"/>
      <c r="F207" s="10"/>
      <c r="G207" s="10"/>
      <c r="H207" s="10"/>
      <c r="I207" s="3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>
      <c r="A208" s="10"/>
      <c r="B208" s="10"/>
      <c r="C208" s="10"/>
      <c r="D208" s="10"/>
      <c r="E208" s="38"/>
      <c r="F208" s="10"/>
      <c r="G208" s="10"/>
      <c r="H208" s="10"/>
      <c r="I208" s="3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>
      <c r="A209" s="10"/>
      <c r="B209" s="10"/>
      <c r="C209" s="10"/>
      <c r="D209" s="10"/>
      <c r="E209" s="38"/>
      <c r="F209" s="10"/>
      <c r="G209" s="10"/>
      <c r="H209" s="10"/>
      <c r="I209" s="3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>
      <c r="A210" s="10"/>
      <c r="B210" s="10"/>
      <c r="C210" s="10"/>
      <c r="D210" s="10"/>
      <c r="E210" s="38"/>
      <c r="F210" s="10"/>
      <c r="G210" s="10"/>
      <c r="H210" s="10"/>
      <c r="I210" s="3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>
      <c r="A211" s="10"/>
      <c r="B211" s="10"/>
      <c r="C211" s="10"/>
      <c r="D211" s="10"/>
      <c r="E211" s="38"/>
      <c r="F211" s="10"/>
      <c r="G211" s="10"/>
      <c r="H211" s="10"/>
      <c r="I211" s="3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>
      <c r="A212" s="10"/>
      <c r="B212" s="10"/>
      <c r="C212" s="10"/>
      <c r="D212" s="10"/>
      <c r="E212" s="38"/>
      <c r="F212" s="10"/>
      <c r="G212" s="10"/>
      <c r="H212" s="10"/>
      <c r="I212" s="3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>
      <c r="A213" s="10"/>
      <c r="B213" s="10"/>
      <c r="C213" s="10"/>
      <c r="D213" s="10"/>
      <c r="E213" s="38"/>
      <c r="F213" s="10"/>
      <c r="G213" s="10"/>
      <c r="H213" s="10"/>
      <c r="I213" s="3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>
      <c r="A214" s="10"/>
      <c r="B214" s="10"/>
      <c r="C214" s="10"/>
      <c r="D214" s="10"/>
      <c r="E214" s="38"/>
      <c r="F214" s="10"/>
      <c r="G214" s="10"/>
      <c r="H214" s="10"/>
      <c r="I214" s="3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>
      <c r="A215" s="10"/>
      <c r="B215" s="10"/>
      <c r="C215" s="10"/>
      <c r="D215" s="10"/>
      <c r="E215" s="38"/>
      <c r="F215" s="10"/>
      <c r="G215" s="10"/>
      <c r="H215" s="10"/>
      <c r="I215" s="3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>
      <c r="A216" s="10"/>
      <c r="B216" s="10"/>
      <c r="C216" s="10"/>
      <c r="D216" s="10"/>
      <c r="E216" s="38"/>
      <c r="F216" s="10"/>
      <c r="G216" s="10"/>
      <c r="H216" s="10"/>
      <c r="I216" s="3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>
      <c r="A217" s="10"/>
      <c r="B217" s="10"/>
      <c r="C217" s="10"/>
      <c r="D217" s="10"/>
      <c r="E217" s="38"/>
      <c r="F217" s="10"/>
      <c r="G217" s="10"/>
      <c r="H217" s="10"/>
      <c r="I217" s="3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>
      <c r="A218" s="10"/>
      <c r="B218" s="10"/>
      <c r="C218" s="10"/>
      <c r="D218" s="10"/>
      <c r="E218" s="38"/>
      <c r="F218" s="10"/>
      <c r="G218" s="10"/>
      <c r="H218" s="10"/>
      <c r="I218" s="3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>
      <c r="A219" s="10"/>
      <c r="B219" s="10"/>
      <c r="C219" s="10"/>
      <c r="D219" s="10"/>
      <c r="E219" s="38"/>
      <c r="F219" s="10"/>
      <c r="G219" s="10"/>
      <c r="H219" s="10"/>
      <c r="I219" s="3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>
      <c r="A220" s="10"/>
      <c r="B220" s="10"/>
      <c r="C220" s="10"/>
      <c r="D220" s="10"/>
      <c r="E220" s="38"/>
      <c r="F220" s="10"/>
      <c r="G220" s="10"/>
      <c r="H220" s="10"/>
      <c r="I220" s="3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>
      <c r="A221" s="10"/>
      <c r="B221" s="10"/>
      <c r="C221" s="10"/>
      <c r="D221" s="10"/>
      <c r="E221" s="38"/>
      <c r="F221" s="10"/>
      <c r="G221" s="10"/>
      <c r="H221" s="10"/>
      <c r="I221" s="3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>
      <c r="A222" s="10"/>
      <c r="B222" s="10"/>
      <c r="C222" s="10"/>
      <c r="D222" s="10"/>
      <c r="E222" s="38"/>
      <c r="F222" s="10"/>
      <c r="G222" s="10"/>
      <c r="H222" s="10"/>
      <c r="I222" s="3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>
      <c r="A223" s="10"/>
      <c r="B223" s="10"/>
      <c r="C223" s="10"/>
      <c r="D223" s="10"/>
      <c r="E223" s="38"/>
      <c r="F223" s="10"/>
      <c r="G223" s="10"/>
      <c r="H223" s="10"/>
      <c r="I223" s="3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>
      <c r="A224" s="10"/>
      <c r="B224" s="10"/>
      <c r="C224" s="10"/>
      <c r="D224" s="10"/>
      <c r="E224" s="38"/>
      <c r="F224" s="10"/>
      <c r="G224" s="10"/>
      <c r="H224" s="10"/>
      <c r="I224" s="3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>
      <c r="A225" s="10"/>
      <c r="B225" s="10"/>
      <c r="C225" s="10"/>
      <c r="D225" s="10"/>
      <c r="E225" s="38"/>
      <c r="F225" s="10"/>
      <c r="G225" s="10"/>
      <c r="H225" s="10"/>
      <c r="I225" s="3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>
      <c r="A226" s="10"/>
      <c r="B226" s="10"/>
      <c r="C226" s="10"/>
      <c r="D226" s="10"/>
      <c r="E226" s="38"/>
      <c r="F226" s="10"/>
      <c r="G226" s="10"/>
      <c r="H226" s="10"/>
      <c r="I226" s="3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>
      <c r="A227" s="10"/>
      <c r="B227" s="10"/>
      <c r="C227" s="10"/>
      <c r="D227" s="10"/>
      <c r="E227" s="38"/>
      <c r="F227" s="10"/>
      <c r="G227" s="10"/>
      <c r="H227" s="10"/>
      <c r="I227" s="3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>
      <c r="A228" s="10"/>
      <c r="B228" s="10"/>
      <c r="C228" s="10"/>
      <c r="D228" s="10"/>
      <c r="E228" s="38"/>
      <c r="F228" s="10"/>
      <c r="G228" s="10"/>
      <c r="H228" s="10"/>
      <c r="I228" s="3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>
      <c r="A229" s="10"/>
      <c r="B229" s="10"/>
      <c r="C229" s="10"/>
      <c r="D229" s="10"/>
      <c r="E229" s="38"/>
      <c r="F229" s="10"/>
      <c r="G229" s="10"/>
      <c r="H229" s="10"/>
      <c r="I229" s="3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>
      <c r="A230" s="10"/>
      <c r="B230" s="10"/>
      <c r="C230" s="10"/>
      <c r="D230" s="10"/>
      <c r="E230" s="38"/>
      <c r="F230" s="10"/>
      <c r="G230" s="10"/>
      <c r="H230" s="10"/>
      <c r="I230" s="3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>
      <c r="A231" s="10"/>
      <c r="B231" s="10"/>
      <c r="C231" s="10"/>
      <c r="D231" s="10"/>
      <c r="E231" s="38"/>
      <c r="F231" s="10"/>
      <c r="G231" s="10"/>
      <c r="H231" s="10"/>
      <c r="I231" s="3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>
      <c r="A232" s="10"/>
      <c r="B232" s="10"/>
      <c r="C232" s="10"/>
      <c r="D232" s="10"/>
      <c r="E232" s="38"/>
      <c r="F232" s="10"/>
      <c r="G232" s="10"/>
      <c r="H232" s="10"/>
      <c r="I232" s="3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>
      <c r="A233" s="10"/>
      <c r="B233" s="10"/>
      <c r="C233" s="10"/>
      <c r="D233" s="10"/>
      <c r="E233" s="38"/>
      <c r="F233" s="10"/>
      <c r="G233" s="10"/>
      <c r="H233" s="10"/>
      <c r="I233" s="3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>
      <c r="A234" s="10"/>
      <c r="B234" s="10"/>
      <c r="C234" s="10"/>
      <c r="D234" s="10"/>
      <c r="E234" s="38"/>
      <c r="F234" s="10"/>
      <c r="G234" s="10"/>
      <c r="H234" s="10"/>
      <c r="I234" s="3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>
      <c r="A235" s="10"/>
      <c r="B235" s="10"/>
      <c r="C235" s="10"/>
      <c r="D235" s="10"/>
      <c r="E235" s="38"/>
      <c r="F235" s="10"/>
      <c r="G235" s="10"/>
      <c r="H235" s="10"/>
      <c r="I235" s="3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>
      <c r="A236" s="10"/>
      <c r="B236" s="10"/>
      <c r="C236" s="10"/>
      <c r="D236" s="10"/>
      <c r="E236" s="38"/>
      <c r="F236" s="10"/>
      <c r="G236" s="10"/>
      <c r="H236" s="10"/>
      <c r="I236" s="3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>
      <c r="A237" s="10"/>
      <c r="B237" s="10"/>
      <c r="C237" s="10"/>
      <c r="D237" s="10"/>
      <c r="E237" s="38"/>
      <c r="F237" s="10"/>
      <c r="G237" s="10"/>
      <c r="H237" s="10"/>
      <c r="I237" s="3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>
      <c r="A238" s="10"/>
      <c r="B238" s="10"/>
      <c r="C238" s="10"/>
      <c r="D238" s="10"/>
      <c r="E238" s="38"/>
      <c r="F238" s="10"/>
      <c r="G238" s="10"/>
      <c r="H238" s="10"/>
      <c r="I238" s="3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>
      <c r="A239" s="10"/>
      <c r="B239" s="10"/>
      <c r="C239" s="10"/>
      <c r="D239" s="10"/>
      <c r="E239" s="38"/>
      <c r="F239" s="10"/>
      <c r="G239" s="10"/>
      <c r="H239" s="10"/>
      <c r="I239" s="3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>
      <c r="A240" s="10"/>
      <c r="B240" s="10"/>
      <c r="C240" s="10"/>
      <c r="D240" s="10"/>
      <c r="E240" s="38"/>
      <c r="F240" s="10"/>
      <c r="G240" s="10"/>
      <c r="H240" s="10"/>
      <c r="I240" s="3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>
      <c r="A241" s="10"/>
      <c r="B241" s="10"/>
      <c r="C241" s="10"/>
      <c r="D241" s="10"/>
      <c r="E241" s="38"/>
      <c r="F241" s="10"/>
      <c r="G241" s="10"/>
      <c r="H241" s="10"/>
      <c r="I241" s="3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>
      <c r="A242" s="10"/>
      <c r="B242" s="10"/>
      <c r="C242" s="10"/>
      <c r="D242" s="10"/>
      <c r="E242" s="38"/>
      <c r="F242" s="10"/>
      <c r="G242" s="10"/>
      <c r="H242" s="10"/>
      <c r="I242" s="3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>
      <c r="A243" s="10"/>
      <c r="B243" s="10"/>
      <c r="C243" s="10"/>
      <c r="D243" s="10"/>
      <c r="E243" s="38"/>
      <c r="F243" s="10"/>
      <c r="G243" s="10"/>
      <c r="H243" s="10"/>
      <c r="I243" s="3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>
      <c r="A244" s="10"/>
      <c r="B244" s="10"/>
      <c r="C244" s="10"/>
      <c r="D244" s="10"/>
      <c r="E244" s="38"/>
      <c r="F244" s="10"/>
      <c r="G244" s="10"/>
      <c r="H244" s="10"/>
      <c r="I244" s="3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>
      <c r="A245" s="10"/>
      <c r="B245" s="10"/>
      <c r="C245" s="10"/>
      <c r="D245" s="10"/>
      <c r="E245" s="38"/>
      <c r="F245" s="10"/>
      <c r="G245" s="10"/>
      <c r="H245" s="10"/>
      <c r="I245" s="3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>
      <c r="A246" s="10"/>
      <c r="B246" s="10"/>
      <c r="C246" s="10"/>
      <c r="D246" s="10"/>
      <c r="E246" s="38"/>
      <c r="F246" s="10"/>
      <c r="G246" s="10"/>
      <c r="H246" s="10"/>
      <c r="I246" s="3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>
      <c r="A247" s="10"/>
      <c r="B247" s="10"/>
      <c r="C247" s="10"/>
      <c r="D247" s="10"/>
      <c r="E247" s="38"/>
      <c r="F247" s="10"/>
      <c r="G247" s="10"/>
      <c r="H247" s="10"/>
      <c r="I247" s="3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>
      <c r="A248" s="10"/>
      <c r="B248" s="10"/>
      <c r="C248" s="10"/>
      <c r="D248" s="10"/>
      <c r="E248" s="38"/>
      <c r="F248" s="10"/>
      <c r="G248" s="10"/>
      <c r="H248" s="10"/>
      <c r="I248" s="3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>
      <c r="A249" s="10"/>
      <c r="B249" s="10"/>
      <c r="C249" s="10"/>
      <c r="D249" s="10"/>
      <c r="E249" s="38"/>
      <c r="F249" s="10"/>
      <c r="G249" s="10"/>
      <c r="H249" s="10"/>
      <c r="I249" s="3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>
      <c r="A250" s="10"/>
      <c r="B250" s="10"/>
      <c r="C250" s="10"/>
      <c r="D250" s="10"/>
      <c r="E250" s="38"/>
      <c r="F250" s="10"/>
      <c r="G250" s="10"/>
      <c r="H250" s="10"/>
      <c r="I250" s="3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>
      <c r="A251" s="10"/>
      <c r="B251" s="10"/>
      <c r="C251" s="10"/>
      <c r="D251" s="10"/>
      <c r="E251" s="38"/>
      <c r="F251" s="10"/>
      <c r="G251" s="10"/>
      <c r="H251" s="10"/>
      <c r="I251" s="3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>
      <c r="A252" s="10"/>
      <c r="B252" s="10"/>
      <c r="C252" s="10"/>
      <c r="D252" s="10"/>
      <c r="E252" s="38"/>
      <c r="F252" s="10"/>
      <c r="G252" s="10"/>
      <c r="H252" s="10"/>
      <c r="I252" s="3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>
      <c r="A253" s="10"/>
      <c r="B253" s="10"/>
      <c r="C253" s="10"/>
      <c r="D253" s="10"/>
      <c r="E253" s="38"/>
      <c r="F253" s="10"/>
      <c r="G253" s="10"/>
      <c r="H253" s="10"/>
      <c r="I253" s="3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>
      <c r="A254" s="10"/>
      <c r="B254" s="10"/>
      <c r="C254" s="10"/>
      <c r="D254" s="10"/>
      <c r="E254" s="38"/>
      <c r="F254" s="10"/>
      <c r="G254" s="10"/>
      <c r="H254" s="10"/>
      <c r="I254" s="3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>
      <c r="A255" s="10"/>
      <c r="B255" s="10"/>
      <c r="C255" s="10"/>
      <c r="D255" s="10"/>
      <c r="E255" s="38"/>
      <c r="F255" s="10"/>
      <c r="G255" s="10"/>
      <c r="H255" s="10"/>
      <c r="I255" s="3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>
      <c r="A256" s="10"/>
      <c r="B256" s="10"/>
      <c r="C256" s="10"/>
      <c r="D256" s="10"/>
      <c r="E256" s="38"/>
      <c r="F256" s="10"/>
      <c r="G256" s="10"/>
      <c r="H256" s="10"/>
      <c r="I256" s="3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>
      <c r="A257" s="10"/>
      <c r="B257" s="10"/>
      <c r="C257" s="10"/>
      <c r="D257" s="10"/>
      <c r="E257" s="38"/>
      <c r="F257" s="10"/>
      <c r="G257" s="10"/>
      <c r="H257" s="10"/>
      <c r="I257" s="3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>
      <c r="A258" s="10"/>
      <c r="B258" s="10"/>
      <c r="C258" s="10"/>
      <c r="D258" s="10"/>
      <c r="E258" s="38"/>
      <c r="F258" s="10"/>
      <c r="G258" s="10"/>
      <c r="H258" s="10"/>
      <c r="I258" s="3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>
      <c r="A259" s="10"/>
      <c r="B259" s="10"/>
      <c r="C259" s="10"/>
      <c r="D259" s="10"/>
      <c r="E259" s="38"/>
      <c r="F259" s="10"/>
      <c r="G259" s="10"/>
      <c r="H259" s="10"/>
      <c r="I259" s="3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>
      <c r="A260" s="10"/>
      <c r="B260" s="10"/>
      <c r="C260" s="10"/>
      <c r="D260" s="10"/>
      <c r="E260" s="38"/>
      <c r="F260" s="10"/>
      <c r="G260" s="10"/>
      <c r="H260" s="10"/>
      <c r="I260" s="3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>
      <c r="A261" s="10"/>
      <c r="B261" s="10"/>
      <c r="C261" s="10"/>
      <c r="D261" s="10"/>
      <c r="E261" s="38"/>
      <c r="F261" s="10"/>
      <c r="G261" s="10"/>
      <c r="H261" s="10"/>
      <c r="I261" s="3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>
      <c r="A262" s="10"/>
      <c r="B262" s="10"/>
      <c r="C262" s="10"/>
      <c r="D262" s="10"/>
      <c r="E262" s="38"/>
      <c r="F262" s="10"/>
      <c r="G262" s="10"/>
      <c r="H262" s="10"/>
      <c r="I262" s="3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>
      <c r="A263" s="10"/>
      <c r="B263" s="10"/>
      <c r="C263" s="10"/>
      <c r="D263" s="10"/>
      <c r="E263" s="38"/>
      <c r="F263" s="10"/>
      <c r="G263" s="10"/>
      <c r="H263" s="10"/>
      <c r="I263" s="3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>
      <c r="A264" s="10"/>
      <c r="B264" s="10"/>
      <c r="C264" s="10"/>
      <c r="D264" s="10"/>
      <c r="E264" s="38"/>
      <c r="F264" s="10"/>
      <c r="G264" s="10"/>
      <c r="H264" s="10"/>
      <c r="I264" s="3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>
      <c r="A265" s="10"/>
      <c r="B265" s="10"/>
      <c r="C265" s="10"/>
      <c r="D265" s="10"/>
      <c r="E265" s="38"/>
      <c r="F265" s="10"/>
      <c r="G265" s="10"/>
      <c r="H265" s="10"/>
      <c r="I265" s="3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>
      <c r="A266" s="10"/>
      <c r="B266" s="10"/>
      <c r="C266" s="10"/>
      <c r="D266" s="10"/>
      <c r="E266" s="38"/>
      <c r="F266" s="10"/>
      <c r="G266" s="10"/>
      <c r="H266" s="10"/>
      <c r="I266" s="3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>
      <c r="A267" s="10"/>
      <c r="B267" s="10"/>
      <c r="C267" s="10"/>
      <c r="D267" s="10"/>
      <c r="E267" s="38"/>
      <c r="F267" s="10"/>
      <c r="G267" s="10"/>
      <c r="H267" s="10"/>
      <c r="I267" s="3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>
      <c r="A268" s="10"/>
      <c r="B268" s="10"/>
      <c r="C268" s="10"/>
      <c r="D268" s="10"/>
      <c r="E268" s="38"/>
      <c r="F268" s="10"/>
      <c r="G268" s="10"/>
      <c r="H268" s="10"/>
      <c r="I268" s="3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>
      <c r="A269" s="10"/>
      <c r="B269" s="10"/>
      <c r="C269" s="10"/>
      <c r="D269" s="10"/>
      <c r="E269" s="38"/>
      <c r="F269" s="10"/>
      <c r="G269" s="10"/>
      <c r="H269" s="10"/>
      <c r="I269" s="3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>
      <c r="A270" s="10"/>
      <c r="B270" s="10"/>
      <c r="C270" s="10"/>
      <c r="D270" s="10"/>
      <c r="E270" s="38"/>
      <c r="F270" s="10"/>
      <c r="G270" s="10"/>
      <c r="H270" s="10"/>
      <c r="I270" s="3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>
      <c r="A271" s="10"/>
      <c r="B271" s="10"/>
      <c r="C271" s="10"/>
      <c r="D271" s="10"/>
      <c r="E271" s="38"/>
      <c r="F271" s="10"/>
      <c r="G271" s="10"/>
      <c r="H271" s="10"/>
      <c r="I271" s="3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>
      <c r="A272" s="10"/>
      <c r="B272" s="10"/>
      <c r="C272" s="10"/>
      <c r="D272" s="10"/>
      <c r="E272" s="38"/>
      <c r="F272" s="10"/>
      <c r="G272" s="10"/>
      <c r="H272" s="10"/>
      <c r="I272" s="3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>
      <c r="A273" s="10"/>
      <c r="B273" s="10"/>
      <c r="C273" s="10"/>
      <c r="D273" s="10"/>
      <c r="E273" s="38"/>
      <c r="F273" s="10"/>
      <c r="G273" s="10"/>
      <c r="H273" s="10"/>
      <c r="I273" s="3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>
      <c r="A274" s="10"/>
      <c r="B274" s="10"/>
      <c r="C274" s="10"/>
      <c r="D274" s="10"/>
      <c r="E274" s="38"/>
      <c r="F274" s="10"/>
      <c r="G274" s="10"/>
      <c r="H274" s="10"/>
      <c r="I274" s="3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>
      <c r="A275" s="10"/>
      <c r="B275" s="10"/>
      <c r="C275" s="10"/>
      <c r="D275" s="10"/>
      <c r="E275" s="38"/>
      <c r="F275" s="10"/>
      <c r="G275" s="10"/>
      <c r="H275" s="10"/>
      <c r="I275" s="3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>
      <c r="A276" s="10"/>
      <c r="B276" s="10"/>
      <c r="C276" s="10"/>
      <c r="D276" s="10"/>
      <c r="E276" s="38"/>
      <c r="F276" s="10"/>
      <c r="G276" s="10"/>
      <c r="H276" s="10"/>
      <c r="I276" s="3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>
      <c r="A277" s="10"/>
      <c r="B277" s="10"/>
      <c r="C277" s="10"/>
      <c r="D277" s="10"/>
      <c r="E277" s="38"/>
      <c r="F277" s="10"/>
      <c r="G277" s="10"/>
      <c r="H277" s="10"/>
      <c r="I277" s="3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</row>
    <row r="278" spans="1:38">
      <c r="A278" s="10"/>
      <c r="B278" s="10"/>
      <c r="C278" s="10"/>
      <c r="D278" s="10"/>
      <c r="E278" s="38"/>
      <c r="F278" s="10"/>
      <c r="G278" s="10"/>
      <c r="H278" s="10"/>
      <c r="I278" s="3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</row>
    <row r="279" spans="1:38">
      <c r="A279" s="10"/>
      <c r="B279" s="10"/>
      <c r="C279" s="10"/>
      <c r="D279" s="10"/>
      <c r="E279" s="38"/>
      <c r="F279" s="10"/>
      <c r="G279" s="10"/>
      <c r="H279" s="10"/>
      <c r="I279" s="3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</row>
    <row r="280" spans="1:38">
      <c r="A280" s="10"/>
      <c r="B280" s="10"/>
      <c r="C280" s="10"/>
      <c r="D280" s="10"/>
      <c r="E280" s="38"/>
      <c r="F280" s="10"/>
      <c r="G280" s="10"/>
      <c r="H280" s="10"/>
      <c r="I280" s="3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</row>
    <row r="281" spans="1:38">
      <c r="A281" s="10"/>
      <c r="B281" s="10"/>
      <c r="C281" s="10"/>
      <c r="D281" s="10"/>
      <c r="E281" s="38"/>
      <c r="F281" s="10"/>
      <c r="G281" s="10"/>
      <c r="H281" s="10"/>
      <c r="I281" s="3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</row>
    <row r="282" spans="1:38">
      <c r="A282" s="10"/>
      <c r="B282" s="10"/>
      <c r="C282" s="10"/>
      <c r="D282" s="10"/>
      <c r="E282" s="38"/>
      <c r="F282" s="10"/>
      <c r="G282" s="10"/>
      <c r="H282" s="10"/>
      <c r="I282" s="3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</row>
    <row r="283" spans="1:38">
      <c r="A283" s="10"/>
      <c r="B283" s="10"/>
      <c r="C283" s="10"/>
      <c r="D283" s="10"/>
      <c r="E283" s="38"/>
      <c r="F283" s="10"/>
      <c r="G283" s="10"/>
      <c r="H283" s="10"/>
      <c r="I283" s="3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</row>
    <row r="284" spans="1:38">
      <c r="A284" s="10"/>
      <c r="B284" s="10"/>
      <c r="C284" s="10"/>
      <c r="D284" s="10"/>
      <c r="E284" s="38"/>
      <c r="F284" s="10"/>
      <c r="G284" s="10"/>
      <c r="H284" s="10"/>
      <c r="I284" s="3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</row>
    <row r="285" spans="1:38">
      <c r="A285" s="10"/>
      <c r="B285" s="10"/>
      <c r="C285" s="10"/>
      <c r="D285" s="10"/>
      <c r="E285" s="38"/>
      <c r="F285" s="10"/>
      <c r="G285" s="10"/>
      <c r="H285" s="10"/>
      <c r="I285" s="3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</row>
    <row r="286" spans="1:38">
      <c r="A286" s="10"/>
      <c r="B286" s="10"/>
      <c r="C286" s="10"/>
      <c r="D286" s="10"/>
      <c r="E286" s="38"/>
      <c r="F286" s="10"/>
      <c r="G286" s="10"/>
      <c r="H286" s="10"/>
      <c r="I286" s="3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</row>
    <row r="287" spans="1:38">
      <c r="A287" s="10"/>
      <c r="B287" s="10"/>
      <c r="C287" s="10"/>
      <c r="D287" s="10"/>
      <c r="E287" s="38"/>
      <c r="F287" s="10"/>
      <c r="G287" s="10"/>
      <c r="H287" s="10"/>
      <c r="I287" s="3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>
      <c r="A288" s="10"/>
      <c r="B288" s="10"/>
      <c r="C288" s="10"/>
      <c r="D288" s="10"/>
      <c r="E288" s="38"/>
      <c r="F288" s="10"/>
      <c r="G288" s="10"/>
      <c r="H288" s="10"/>
      <c r="I288" s="3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</row>
    <row r="289" spans="1:38">
      <c r="A289" s="10"/>
      <c r="B289" s="10"/>
      <c r="C289" s="10"/>
      <c r="D289" s="10"/>
      <c r="E289" s="38"/>
      <c r="F289" s="10"/>
      <c r="G289" s="10"/>
      <c r="H289" s="10"/>
      <c r="I289" s="3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</row>
    <row r="290" spans="1:38">
      <c r="A290" s="10"/>
      <c r="B290" s="10"/>
      <c r="C290" s="10"/>
      <c r="D290" s="10"/>
      <c r="E290" s="38"/>
      <c r="F290" s="10"/>
      <c r="G290" s="10"/>
      <c r="H290" s="10"/>
      <c r="I290" s="3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</row>
    <row r="291" spans="1:38">
      <c r="A291" s="10"/>
      <c r="B291" s="10"/>
      <c r="C291" s="10"/>
      <c r="D291" s="10"/>
      <c r="E291" s="38"/>
      <c r="F291" s="10"/>
      <c r="G291" s="10"/>
      <c r="H291" s="10"/>
      <c r="I291" s="3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</row>
    <row r="292" spans="1:38">
      <c r="A292" s="10"/>
      <c r="B292" s="10"/>
      <c r="C292" s="10"/>
      <c r="D292" s="10"/>
      <c r="E292" s="38"/>
      <c r="F292" s="10"/>
      <c r="G292" s="10"/>
      <c r="H292" s="10"/>
      <c r="I292" s="3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</row>
    <row r="293" spans="1:38">
      <c r="A293" s="10"/>
      <c r="B293" s="10"/>
      <c r="C293" s="10"/>
      <c r="D293" s="10"/>
      <c r="E293" s="38"/>
      <c r="F293" s="10"/>
      <c r="G293" s="10"/>
      <c r="H293" s="10"/>
      <c r="I293" s="3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</row>
    <row r="294" spans="1:38">
      <c r="A294" s="10"/>
      <c r="B294" s="10"/>
      <c r="C294" s="10"/>
      <c r="D294" s="10"/>
      <c r="E294" s="38"/>
      <c r="F294" s="10"/>
      <c r="G294" s="10"/>
      <c r="H294" s="10"/>
      <c r="I294" s="3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</row>
    <row r="295" spans="1:38">
      <c r="A295" s="10"/>
      <c r="B295" s="10"/>
      <c r="C295" s="10"/>
      <c r="D295" s="10"/>
      <c r="E295" s="38"/>
      <c r="F295" s="10"/>
      <c r="G295" s="10"/>
      <c r="H295" s="10"/>
      <c r="I295" s="3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</row>
    <row r="296" spans="1:38">
      <c r="A296" s="10"/>
      <c r="B296" s="10"/>
      <c r="C296" s="10"/>
      <c r="D296" s="10"/>
      <c r="E296" s="38"/>
      <c r="F296" s="10"/>
      <c r="G296" s="10"/>
      <c r="H296" s="10"/>
      <c r="I296" s="3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</row>
    <row r="297" spans="1:38">
      <c r="A297" s="10"/>
      <c r="B297" s="10"/>
      <c r="C297" s="10"/>
      <c r="D297" s="10"/>
      <c r="E297" s="38"/>
      <c r="F297" s="10"/>
      <c r="G297" s="10"/>
      <c r="H297" s="10"/>
      <c r="I297" s="3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1:38">
      <c r="A298" s="10"/>
      <c r="B298" s="10"/>
      <c r="C298" s="10"/>
      <c r="D298" s="10"/>
      <c r="E298" s="38"/>
      <c r="F298" s="10"/>
      <c r="G298" s="10"/>
      <c r="H298" s="10"/>
      <c r="I298" s="3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</row>
    <row r="299" spans="1:38">
      <c r="A299" s="10"/>
      <c r="B299" s="10"/>
      <c r="C299" s="10"/>
      <c r="D299" s="10"/>
      <c r="E299" s="38"/>
      <c r="F299" s="10"/>
      <c r="G299" s="10"/>
      <c r="H299" s="10"/>
      <c r="I299" s="3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</row>
    <row r="300" spans="1:38">
      <c r="A300" s="10"/>
      <c r="B300" s="10"/>
      <c r="C300" s="10"/>
      <c r="D300" s="10"/>
      <c r="E300" s="38"/>
      <c r="F300" s="10"/>
      <c r="G300" s="10"/>
      <c r="H300" s="10"/>
      <c r="I300" s="3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1:38">
      <c r="A301" s="10"/>
      <c r="B301" s="10"/>
      <c r="C301" s="10"/>
      <c r="D301" s="10"/>
      <c r="E301" s="38"/>
      <c r="F301" s="10"/>
      <c r="G301" s="10"/>
      <c r="H301" s="10"/>
      <c r="I301" s="3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</row>
    <row r="302" spans="1:38">
      <c r="A302" s="10"/>
      <c r="B302" s="10"/>
      <c r="C302" s="10"/>
      <c r="D302" s="10"/>
      <c r="E302" s="38"/>
      <c r="F302" s="10"/>
      <c r="G302" s="10"/>
      <c r="H302" s="10"/>
      <c r="I302" s="3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</row>
    <row r="303" spans="1:38">
      <c r="A303" s="10"/>
      <c r="B303" s="10"/>
      <c r="C303" s="10"/>
      <c r="D303" s="10"/>
      <c r="E303" s="38"/>
      <c r="F303" s="10"/>
      <c r="G303" s="10"/>
      <c r="H303" s="10"/>
      <c r="I303" s="3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</row>
    <row r="304" spans="1:38">
      <c r="A304" s="10"/>
      <c r="B304" s="10"/>
      <c r="C304" s="10"/>
      <c r="D304" s="10"/>
      <c r="E304" s="38"/>
      <c r="F304" s="10"/>
      <c r="G304" s="10"/>
      <c r="H304" s="10"/>
      <c r="I304" s="3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1:38">
      <c r="A305" s="10"/>
      <c r="B305" s="10"/>
      <c r="C305" s="10"/>
      <c r="D305" s="10"/>
      <c r="E305" s="38"/>
      <c r="F305" s="10"/>
      <c r="G305" s="10"/>
      <c r="H305" s="10"/>
      <c r="I305" s="3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</row>
    <row r="306" spans="1:38">
      <c r="A306" s="10"/>
      <c r="B306" s="10"/>
      <c r="C306" s="10"/>
      <c r="D306" s="10"/>
      <c r="E306" s="38"/>
      <c r="F306" s="10"/>
      <c r="G306" s="10"/>
      <c r="H306" s="10"/>
      <c r="I306" s="3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</row>
    <row r="307" spans="1:38">
      <c r="A307" s="10"/>
      <c r="B307" s="10"/>
      <c r="C307" s="10"/>
      <c r="D307" s="10"/>
      <c r="E307" s="38"/>
      <c r="F307" s="10"/>
      <c r="G307" s="10"/>
      <c r="H307" s="10"/>
      <c r="I307" s="3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</row>
    <row r="308" spans="1:38">
      <c r="A308" s="10"/>
      <c r="B308" s="10"/>
      <c r="C308" s="10"/>
      <c r="D308" s="10"/>
      <c r="E308" s="38"/>
      <c r="F308" s="10"/>
      <c r="G308" s="10"/>
      <c r="H308" s="10"/>
      <c r="I308" s="3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</row>
    <row r="309" spans="1:38">
      <c r="A309" s="10"/>
      <c r="B309" s="10"/>
      <c r="C309" s="10"/>
      <c r="D309" s="10"/>
      <c r="E309" s="38"/>
      <c r="F309" s="10"/>
      <c r="G309" s="10"/>
      <c r="H309" s="10"/>
      <c r="I309" s="3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</row>
    <row r="310" spans="1:38">
      <c r="A310" s="10"/>
      <c r="B310" s="10"/>
      <c r="C310" s="10"/>
      <c r="D310" s="10"/>
      <c r="E310" s="38"/>
      <c r="F310" s="10"/>
      <c r="G310" s="10"/>
      <c r="H310" s="10"/>
      <c r="I310" s="3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1:38">
      <c r="A311" s="10"/>
      <c r="B311" s="10"/>
      <c r="C311" s="10"/>
      <c r="D311" s="10"/>
      <c r="E311" s="38"/>
      <c r="F311" s="10"/>
      <c r="G311" s="10"/>
      <c r="H311" s="10"/>
      <c r="I311" s="3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</row>
    <row r="312" spans="1:38">
      <c r="A312" s="10"/>
      <c r="B312" s="10"/>
      <c r="C312" s="10"/>
      <c r="D312" s="10"/>
      <c r="E312" s="38"/>
      <c r="F312" s="10"/>
      <c r="G312" s="10"/>
      <c r="H312" s="10"/>
      <c r="I312" s="3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</row>
    <row r="313" spans="1:38">
      <c r="A313" s="10"/>
      <c r="B313" s="10"/>
      <c r="C313" s="10"/>
      <c r="D313" s="10"/>
      <c r="E313" s="38"/>
      <c r="F313" s="10"/>
      <c r="G313" s="10"/>
      <c r="H313" s="10"/>
      <c r="I313" s="3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</row>
    <row r="314" spans="1:38">
      <c r="A314" s="10"/>
      <c r="B314" s="10"/>
      <c r="C314" s="10"/>
      <c r="D314" s="10"/>
      <c r="E314" s="38"/>
      <c r="F314" s="10"/>
      <c r="G314" s="10"/>
      <c r="H314" s="10"/>
      <c r="I314" s="3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</row>
    <row r="315" spans="1:38">
      <c r="A315" s="10"/>
      <c r="B315" s="10"/>
      <c r="C315" s="10"/>
      <c r="D315" s="10"/>
      <c r="E315" s="38"/>
      <c r="F315" s="10"/>
      <c r="G315" s="10"/>
      <c r="H315" s="10"/>
      <c r="I315" s="3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>
      <c r="A316" s="10"/>
      <c r="B316" s="10"/>
      <c r="C316" s="10"/>
      <c r="D316" s="10"/>
      <c r="E316" s="38"/>
      <c r="F316" s="10"/>
      <c r="G316" s="10"/>
      <c r="H316" s="10"/>
      <c r="I316" s="3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</row>
    <row r="317" spans="1:38">
      <c r="A317" s="10"/>
      <c r="B317" s="10"/>
      <c r="C317" s="10"/>
      <c r="D317" s="10"/>
      <c r="E317" s="38"/>
      <c r="F317" s="10"/>
      <c r="G317" s="10"/>
      <c r="H317" s="10"/>
      <c r="I317" s="3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</row>
    <row r="318" spans="1:38">
      <c r="A318" s="10"/>
      <c r="B318" s="10"/>
      <c r="C318" s="10"/>
      <c r="D318" s="10"/>
      <c r="E318" s="38"/>
      <c r="F318" s="10"/>
      <c r="G318" s="10"/>
      <c r="H318" s="10"/>
      <c r="I318" s="3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</row>
    <row r="319" spans="1:38">
      <c r="A319" s="10"/>
      <c r="B319" s="10"/>
      <c r="C319" s="10"/>
      <c r="D319" s="10"/>
      <c r="E319" s="38"/>
      <c r="F319" s="10"/>
      <c r="G319" s="10"/>
      <c r="H319" s="10"/>
      <c r="I319" s="3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</row>
    <row r="320" spans="1:38">
      <c r="A320" s="10"/>
      <c r="B320" s="10"/>
      <c r="C320" s="10"/>
      <c r="D320" s="10"/>
      <c r="E320" s="38"/>
      <c r="F320" s="10"/>
      <c r="G320" s="10"/>
      <c r="H320" s="10"/>
      <c r="I320" s="3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</row>
    <row r="321" spans="1:38">
      <c r="A321" s="10"/>
      <c r="B321" s="10"/>
      <c r="C321" s="10"/>
      <c r="D321" s="10"/>
      <c r="E321" s="38"/>
      <c r="F321" s="10"/>
      <c r="G321" s="10"/>
      <c r="H321" s="10"/>
      <c r="I321" s="3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1:38">
      <c r="A322" s="10"/>
      <c r="B322" s="10"/>
      <c r="C322" s="10"/>
      <c r="D322" s="10"/>
      <c r="E322" s="38"/>
      <c r="F322" s="10"/>
      <c r="G322" s="10"/>
      <c r="H322" s="10"/>
      <c r="I322" s="3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</row>
    <row r="323" spans="1:38">
      <c r="A323" s="10"/>
      <c r="B323" s="10"/>
      <c r="C323" s="10"/>
      <c r="D323" s="10"/>
      <c r="E323" s="38"/>
      <c r="F323" s="10"/>
      <c r="G323" s="10"/>
      <c r="H323" s="10"/>
      <c r="I323" s="3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</row>
    <row r="324" spans="1:38">
      <c r="A324" s="10"/>
      <c r="B324" s="10"/>
      <c r="C324" s="10"/>
      <c r="D324" s="10"/>
      <c r="E324" s="38"/>
      <c r="F324" s="10"/>
      <c r="G324" s="10"/>
      <c r="H324" s="10"/>
      <c r="I324" s="3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</row>
    <row r="325" spans="1:38">
      <c r="A325" s="10"/>
      <c r="B325" s="10"/>
      <c r="C325" s="10"/>
      <c r="D325" s="10"/>
      <c r="E325" s="38"/>
      <c r="F325" s="10"/>
      <c r="G325" s="10"/>
      <c r="H325" s="10"/>
      <c r="I325" s="3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</row>
    <row r="326" spans="1:38">
      <c r="A326" s="10"/>
      <c r="B326" s="10"/>
      <c r="C326" s="10"/>
      <c r="D326" s="10"/>
      <c r="E326" s="38"/>
      <c r="F326" s="10"/>
      <c r="G326" s="10"/>
      <c r="H326" s="10"/>
      <c r="I326" s="3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</row>
    <row r="327" spans="1:38">
      <c r="A327" s="10"/>
      <c r="B327" s="10"/>
      <c r="C327" s="10"/>
      <c r="D327" s="10"/>
      <c r="E327" s="38"/>
      <c r="F327" s="10"/>
      <c r="G327" s="10"/>
      <c r="H327" s="10"/>
      <c r="I327" s="3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</row>
    <row r="328" spans="1:38">
      <c r="A328" s="10"/>
      <c r="B328" s="10"/>
      <c r="C328" s="10"/>
      <c r="D328" s="10"/>
      <c r="E328" s="38"/>
      <c r="F328" s="10"/>
      <c r="G328" s="10"/>
      <c r="H328" s="10"/>
      <c r="I328" s="3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</row>
    <row r="329" spans="1:38">
      <c r="A329" s="10"/>
      <c r="B329" s="10"/>
      <c r="C329" s="10"/>
      <c r="D329" s="10"/>
      <c r="E329" s="38"/>
      <c r="F329" s="10"/>
      <c r="G329" s="10"/>
      <c r="H329" s="10"/>
      <c r="I329" s="3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</row>
    <row r="330" spans="1:38">
      <c r="A330" s="10"/>
      <c r="B330" s="10"/>
      <c r="C330" s="10"/>
      <c r="D330" s="10"/>
      <c r="E330" s="38"/>
      <c r="F330" s="10"/>
      <c r="G330" s="10"/>
      <c r="H330" s="10"/>
      <c r="I330" s="3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</row>
    <row r="331" spans="1:38">
      <c r="A331" s="10"/>
      <c r="B331" s="10"/>
      <c r="C331" s="10"/>
      <c r="D331" s="10"/>
      <c r="E331" s="38"/>
      <c r="F331" s="10"/>
      <c r="G331" s="10"/>
      <c r="H331" s="10"/>
      <c r="I331" s="3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</row>
    <row r="332" spans="1:38">
      <c r="A332" s="10"/>
      <c r="B332" s="10"/>
      <c r="C332" s="10"/>
      <c r="D332" s="10"/>
      <c r="E332" s="38"/>
      <c r="F332" s="10"/>
      <c r="G332" s="10"/>
      <c r="H332" s="10"/>
      <c r="I332" s="3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</row>
    <row r="333" spans="1:38">
      <c r="A333" s="10"/>
      <c r="B333" s="10"/>
      <c r="C333" s="10"/>
      <c r="D333" s="10"/>
      <c r="E333" s="38"/>
      <c r="F333" s="10"/>
      <c r="G333" s="10"/>
      <c r="H333" s="10"/>
      <c r="I333" s="3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</row>
    <row r="334" spans="1:38">
      <c r="A334" s="10"/>
      <c r="B334" s="10"/>
      <c r="C334" s="10"/>
      <c r="D334" s="10"/>
      <c r="E334" s="38"/>
      <c r="F334" s="10"/>
      <c r="G334" s="10"/>
      <c r="H334" s="10"/>
      <c r="I334" s="3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1:38">
      <c r="A335" s="10"/>
      <c r="B335" s="10"/>
      <c r="C335" s="10"/>
      <c r="D335" s="10"/>
      <c r="E335" s="38"/>
      <c r="F335" s="10"/>
      <c r="G335" s="10"/>
      <c r="H335" s="10"/>
      <c r="I335" s="3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</row>
    <row r="336" spans="1:38">
      <c r="A336" s="10"/>
      <c r="B336" s="10"/>
      <c r="C336" s="10"/>
      <c r="D336" s="10"/>
      <c r="E336" s="38"/>
      <c r="F336" s="10"/>
      <c r="G336" s="10"/>
      <c r="H336" s="10"/>
      <c r="I336" s="3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1:38">
      <c r="A337" s="10"/>
      <c r="B337" s="10"/>
      <c r="C337" s="10"/>
      <c r="D337" s="10"/>
      <c r="E337" s="38"/>
      <c r="F337" s="10"/>
      <c r="G337" s="10"/>
      <c r="H337" s="10"/>
      <c r="I337" s="3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</row>
    <row r="338" spans="1:38">
      <c r="A338" s="10"/>
      <c r="B338" s="10"/>
      <c r="C338" s="10"/>
      <c r="D338" s="10"/>
      <c r="E338" s="38"/>
      <c r="F338" s="10"/>
      <c r="G338" s="10"/>
      <c r="H338" s="10"/>
      <c r="I338" s="3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</row>
    <row r="339" spans="1:38">
      <c r="A339" s="10"/>
      <c r="B339" s="10"/>
      <c r="C339" s="10"/>
      <c r="D339" s="10"/>
      <c r="E339" s="38"/>
      <c r="F339" s="10"/>
      <c r="G339" s="10"/>
      <c r="H339" s="10"/>
      <c r="I339" s="3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</row>
    <row r="340" spans="1:38">
      <c r="A340" s="10"/>
      <c r="B340" s="10"/>
      <c r="C340" s="10"/>
      <c r="D340" s="10"/>
      <c r="E340" s="38"/>
      <c r="F340" s="10"/>
      <c r="G340" s="10"/>
      <c r="H340" s="10"/>
      <c r="I340" s="3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</row>
    <row r="341" spans="1:38">
      <c r="A341" s="10"/>
      <c r="B341" s="10"/>
      <c r="C341" s="10"/>
      <c r="D341" s="10"/>
      <c r="E341" s="38"/>
      <c r="F341" s="10"/>
      <c r="G341" s="10"/>
      <c r="H341" s="10"/>
      <c r="I341" s="3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</row>
    <row r="342" spans="1:38">
      <c r="A342" s="10"/>
      <c r="B342" s="10"/>
      <c r="C342" s="10"/>
      <c r="D342" s="10"/>
      <c r="E342" s="38"/>
      <c r="F342" s="10"/>
      <c r="G342" s="10"/>
      <c r="H342" s="10"/>
      <c r="I342" s="3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1:38">
      <c r="A343" s="10"/>
      <c r="B343" s="10"/>
      <c r="C343" s="10"/>
      <c r="D343" s="10"/>
      <c r="E343" s="38"/>
      <c r="F343" s="10"/>
      <c r="G343" s="10"/>
      <c r="H343" s="10"/>
      <c r="I343" s="3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1:38">
      <c r="A344" s="10"/>
      <c r="B344" s="10"/>
      <c r="C344" s="10"/>
      <c r="D344" s="10"/>
      <c r="E344" s="38"/>
      <c r="F344" s="10"/>
      <c r="G344" s="10"/>
      <c r="H344" s="10"/>
      <c r="I344" s="3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</row>
    <row r="345" spans="1:38">
      <c r="A345" s="10"/>
      <c r="B345" s="10"/>
      <c r="C345" s="10"/>
      <c r="D345" s="10"/>
      <c r="E345" s="38"/>
      <c r="F345" s="10"/>
      <c r="G345" s="10"/>
      <c r="H345" s="10"/>
      <c r="I345" s="3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</row>
    <row r="346" spans="1:38">
      <c r="A346" s="10"/>
      <c r="B346" s="10"/>
      <c r="C346" s="10"/>
      <c r="D346" s="10"/>
      <c r="E346" s="38"/>
      <c r="F346" s="10"/>
      <c r="G346" s="10"/>
      <c r="H346" s="10"/>
      <c r="I346" s="3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</row>
    <row r="347" spans="1:38">
      <c r="A347" s="10"/>
      <c r="B347" s="10"/>
      <c r="C347" s="10"/>
      <c r="D347" s="10"/>
      <c r="E347" s="38"/>
      <c r="F347" s="10"/>
      <c r="G347" s="10"/>
      <c r="H347" s="10"/>
      <c r="I347" s="3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</row>
    <row r="348" spans="1:38">
      <c r="A348" s="10"/>
      <c r="B348" s="10"/>
      <c r="C348" s="10"/>
      <c r="D348" s="10"/>
      <c r="E348" s="38"/>
      <c r="F348" s="10"/>
      <c r="G348" s="10"/>
      <c r="H348" s="10"/>
      <c r="I348" s="3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</row>
    <row r="349" spans="1:38">
      <c r="A349" s="10"/>
      <c r="B349" s="10"/>
      <c r="C349" s="10"/>
      <c r="D349" s="10"/>
      <c r="E349" s="38"/>
      <c r="F349" s="10"/>
      <c r="G349" s="10"/>
      <c r="H349" s="10"/>
      <c r="I349" s="3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</row>
    <row r="350" spans="1:38">
      <c r="A350" s="10"/>
      <c r="B350" s="10"/>
      <c r="C350" s="10"/>
      <c r="D350" s="10"/>
      <c r="E350" s="38"/>
      <c r="F350" s="10"/>
      <c r="G350" s="10"/>
      <c r="H350" s="10"/>
      <c r="I350" s="3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</row>
    <row r="351" spans="1:38">
      <c r="A351" s="10"/>
      <c r="B351" s="10"/>
      <c r="C351" s="10"/>
      <c r="D351" s="10"/>
      <c r="E351" s="38"/>
      <c r="F351" s="10"/>
      <c r="G351" s="10"/>
      <c r="H351" s="10"/>
      <c r="I351" s="3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</row>
    <row r="352" spans="1:38">
      <c r="A352" s="10"/>
      <c r="B352" s="10"/>
      <c r="C352" s="10"/>
      <c r="D352" s="10"/>
      <c r="E352" s="38"/>
      <c r="F352" s="10"/>
      <c r="G352" s="10"/>
      <c r="H352" s="10"/>
      <c r="I352" s="3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</row>
    <row r="353" spans="1:38">
      <c r="A353" s="10"/>
      <c r="B353" s="10"/>
      <c r="C353" s="10"/>
      <c r="D353" s="10"/>
      <c r="E353" s="38"/>
      <c r="F353" s="10"/>
      <c r="G353" s="10"/>
      <c r="H353" s="10"/>
      <c r="I353" s="3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1:38">
      <c r="A354" s="10"/>
      <c r="B354" s="10"/>
      <c r="C354" s="10"/>
      <c r="D354" s="10"/>
      <c r="E354" s="38"/>
      <c r="F354" s="10"/>
      <c r="G354" s="10"/>
      <c r="H354" s="10"/>
      <c r="I354" s="3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</row>
    <row r="355" spans="1:38">
      <c r="A355" s="10"/>
      <c r="B355" s="10"/>
      <c r="C355" s="10"/>
      <c r="D355" s="10"/>
      <c r="E355" s="38"/>
      <c r="F355" s="10"/>
      <c r="G355" s="10"/>
      <c r="H355" s="10"/>
      <c r="I355" s="3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</row>
    <row r="356" spans="1:38">
      <c r="A356" s="10"/>
      <c r="B356" s="10"/>
      <c r="C356" s="10"/>
      <c r="D356" s="10"/>
      <c r="E356" s="38"/>
      <c r="F356" s="10"/>
      <c r="G356" s="10"/>
      <c r="H356" s="10"/>
      <c r="I356" s="3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</row>
    <row r="357" spans="1:38">
      <c r="A357" s="10"/>
      <c r="B357" s="10"/>
      <c r="C357" s="10"/>
      <c r="D357" s="10"/>
      <c r="E357" s="38"/>
      <c r="F357" s="10"/>
      <c r="G357" s="10"/>
      <c r="H357" s="10"/>
      <c r="I357" s="3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1:38">
      <c r="A358" s="10"/>
      <c r="B358" s="10"/>
      <c r="C358" s="10"/>
      <c r="D358" s="10"/>
      <c r="E358" s="38"/>
      <c r="F358" s="10"/>
      <c r="G358" s="10"/>
      <c r="H358" s="10"/>
      <c r="I358" s="3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1:38">
      <c r="A359" s="10"/>
      <c r="B359" s="10"/>
      <c r="C359" s="10"/>
      <c r="D359" s="10"/>
      <c r="E359" s="38"/>
      <c r="F359" s="10"/>
      <c r="G359" s="10"/>
      <c r="H359" s="10"/>
      <c r="I359" s="3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1:38">
      <c r="A360" s="10"/>
      <c r="B360" s="10"/>
      <c r="C360" s="10"/>
      <c r="D360" s="10"/>
      <c r="E360" s="38"/>
      <c r="F360" s="10"/>
      <c r="G360" s="10"/>
      <c r="H360" s="10"/>
      <c r="I360" s="3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1:38">
      <c r="A361" s="10"/>
      <c r="B361" s="10"/>
      <c r="C361" s="10"/>
      <c r="D361" s="10"/>
      <c r="E361" s="38"/>
      <c r="F361" s="10"/>
      <c r="G361" s="10"/>
      <c r="H361" s="10"/>
      <c r="I361" s="3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1:38">
      <c r="A362" s="10"/>
      <c r="B362" s="10"/>
      <c r="C362" s="10"/>
      <c r="D362" s="10"/>
      <c r="E362" s="38"/>
      <c r="F362" s="10"/>
      <c r="G362" s="10"/>
      <c r="H362" s="10"/>
      <c r="I362" s="3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1:38">
      <c r="A363" s="10"/>
      <c r="B363" s="10"/>
      <c r="C363" s="10"/>
      <c r="D363" s="10"/>
      <c r="E363" s="38"/>
      <c r="F363" s="10"/>
      <c r="G363" s="10"/>
      <c r="H363" s="10"/>
      <c r="I363" s="3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1:38">
      <c r="A364" s="10"/>
      <c r="B364" s="10"/>
      <c r="C364" s="10"/>
      <c r="D364" s="10"/>
      <c r="E364" s="38"/>
      <c r="F364" s="10"/>
      <c r="G364" s="10"/>
      <c r="H364" s="10"/>
      <c r="I364" s="3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1:38">
      <c r="A365" s="10"/>
      <c r="B365" s="10"/>
      <c r="C365" s="10"/>
      <c r="D365" s="10"/>
      <c r="E365" s="38"/>
      <c r="F365" s="10"/>
      <c r="G365" s="10"/>
      <c r="H365" s="10"/>
      <c r="I365" s="3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1:38">
      <c r="A366" s="10"/>
      <c r="B366" s="10"/>
      <c r="C366" s="10"/>
      <c r="D366" s="10"/>
      <c r="E366" s="38"/>
      <c r="F366" s="10"/>
      <c r="G366" s="10"/>
      <c r="H366" s="10"/>
      <c r="I366" s="3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1:38">
      <c r="A367" s="10"/>
      <c r="B367" s="10"/>
      <c r="C367" s="10"/>
      <c r="D367" s="10"/>
      <c r="E367" s="38"/>
      <c r="F367" s="10"/>
      <c r="G367" s="10"/>
      <c r="H367" s="10"/>
      <c r="I367" s="3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1:38">
      <c r="A368" s="10"/>
      <c r="B368" s="10"/>
      <c r="C368" s="10"/>
      <c r="D368" s="10"/>
      <c r="E368" s="38"/>
      <c r="F368" s="10"/>
      <c r="G368" s="10"/>
      <c r="H368" s="10"/>
      <c r="I368" s="3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1:38">
      <c r="A369" s="10"/>
      <c r="B369" s="10"/>
      <c r="C369" s="10"/>
      <c r="D369" s="10"/>
      <c r="E369" s="38"/>
      <c r="F369" s="10"/>
      <c r="G369" s="10"/>
      <c r="H369" s="10"/>
      <c r="I369" s="3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1:38">
      <c r="A370" s="10"/>
      <c r="B370" s="10"/>
      <c r="C370" s="10"/>
      <c r="D370" s="10"/>
      <c r="E370" s="38"/>
      <c r="F370" s="10"/>
      <c r="G370" s="10"/>
      <c r="H370" s="10"/>
      <c r="I370" s="3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1:38">
      <c r="A371" s="10"/>
      <c r="B371" s="10"/>
      <c r="C371" s="10"/>
      <c r="D371" s="10"/>
      <c r="E371" s="38"/>
      <c r="F371" s="10"/>
      <c r="G371" s="10"/>
      <c r="H371" s="10"/>
      <c r="I371" s="3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1:38">
      <c r="A372" s="10"/>
      <c r="B372" s="10"/>
      <c r="C372" s="10"/>
      <c r="D372" s="10"/>
      <c r="E372" s="38"/>
      <c r="F372" s="10"/>
      <c r="G372" s="10"/>
      <c r="H372" s="10"/>
      <c r="I372" s="3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1:38">
      <c r="A373" s="10"/>
      <c r="B373" s="10"/>
      <c r="C373" s="10"/>
      <c r="D373" s="10"/>
      <c r="E373" s="38"/>
      <c r="F373" s="10"/>
      <c r="G373" s="10"/>
      <c r="H373" s="10"/>
      <c r="I373" s="3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1:38">
      <c r="A374" s="10"/>
      <c r="B374" s="10"/>
      <c r="C374" s="10"/>
      <c r="D374" s="10"/>
      <c r="E374" s="38"/>
      <c r="F374" s="10"/>
      <c r="G374" s="10"/>
      <c r="H374" s="10"/>
      <c r="I374" s="3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1:38">
      <c r="A375" s="10"/>
      <c r="B375" s="10"/>
      <c r="C375" s="10"/>
      <c r="D375" s="10"/>
      <c r="E375" s="38"/>
      <c r="F375" s="10"/>
      <c r="G375" s="10"/>
      <c r="H375" s="10"/>
      <c r="I375" s="3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1:38">
      <c r="A376" s="10"/>
      <c r="B376" s="10"/>
      <c r="C376" s="10"/>
      <c r="D376" s="10"/>
      <c r="E376" s="38"/>
      <c r="F376" s="10"/>
      <c r="G376" s="10"/>
      <c r="H376" s="10"/>
      <c r="I376" s="3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1:38">
      <c r="A377" s="10"/>
      <c r="B377" s="10"/>
      <c r="C377" s="10"/>
      <c r="D377" s="10"/>
      <c r="E377" s="38"/>
      <c r="F377" s="10"/>
      <c r="G377" s="10"/>
      <c r="H377" s="10"/>
      <c r="I377" s="3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1:38">
      <c r="A378" s="10"/>
      <c r="B378" s="10"/>
      <c r="C378" s="10"/>
      <c r="D378" s="10"/>
      <c r="E378" s="38"/>
      <c r="F378" s="10"/>
      <c r="G378" s="10"/>
      <c r="H378" s="10"/>
      <c r="I378" s="3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1:38">
      <c r="A379" s="10"/>
      <c r="B379" s="10"/>
      <c r="C379" s="10"/>
      <c r="D379" s="10"/>
      <c r="E379" s="38"/>
      <c r="F379" s="10"/>
      <c r="G379" s="10"/>
      <c r="H379" s="10"/>
      <c r="I379" s="3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1:38">
      <c r="A380" s="10"/>
      <c r="B380" s="10"/>
      <c r="C380" s="10"/>
      <c r="D380" s="10"/>
      <c r="E380" s="38"/>
      <c r="F380" s="10"/>
      <c r="G380" s="10"/>
      <c r="H380" s="10"/>
      <c r="I380" s="3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1:38">
      <c r="A381" s="10"/>
      <c r="B381" s="10"/>
      <c r="C381" s="10"/>
      <c r="D381" s="10"/>
      <c r="E381" s="38"/>
      <c r="F381" s="10"/>
      <c r="G381" s="10"/>
      <c r="H381" s="10"/>
      <c r="I381" s="3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1:38">
      <c r="A382" s="10"/>
      <c r="B382" s="10"/>
      <c r="C382" s="10"/>
      <c r="D382" s="10"/>
      <c r="E382" s="38"/>
      <c r="F382" s="10"/>
      <c r="G382" s="10"/>
      <c r="H382" s="10"/>
      <c r="I382" s="3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1:38">
      <c r="A383" s="10"/>
      <c r="B383" s="10"/>
      <c r="C383" s="10"/>
      <c r="D383" s="10"/>
      <c r="E383" s="38"/>
      <c r="F383" s="10"/>
      <c r="G383" s="10"/>
      <c r="H383" s="10"/>
      <c r="I383" s="3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1:38">
      <c r="A384" s="10"/>
      <c r="B384" s="10"/>
      <c r="C384" s="10"/>
      <c r="D384" s="10"/>
      <c r="E384" s="38"/>
      <c r="F384" s="10"/>
      <c r="G384" s="10"/>
      <c r="H384" s="10"/>
      <c r="I384" s="3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1:38">
      <c r="A385" s="10"/>
      <c r="B385" s="10"/>
      <c r="C385" s="10"/>
      <c r="D385" s="10"/>
      <c r="E385" s="38"/>
      <c r="F385" s="10"/>
      <c r="G385" s="10"/>
      <c r="H385" s="10"/>
      <c r="I385" s="3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1:38">
      <c r="A386" s="10"/>
      <c r="B386" s="10"/>
      <c r="C386" s="10"/>
      <c r="D386" s="10"/>
      <c r="E386" s="38"/>
      <c r="F386" s="10"/>
      <c r="G386" s="10"/>
      <c r="H386" s="10"/>
      <c r="I386" s="3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1:38">
      <c r="A387" s="10"/>
      <c r="B387" s="10"/>
      <c r="C387" s="10"/>
      <c r="D387" s="10"/>
      <c r="E387" s="38"/>
      <c r="F387" s="10"/>
      <c r="G387" s="10"/>
      <c r="H387" s="10"/>
      <c r="I387" s="3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1:38">
      <c r="A388" s="10"/>
      <c r="B388" s="10"/>
      <c r="C388" s="10"/>
      <c r="D388" s="10"/>
      <c r="E388" s="38"/>
      <c r="F388" s="10"/>
      <c r="G388" s="10"/>
      <c r="H388" s="10"/>
      <c r="I388" s="3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1:38">
      <c r="A389" s="10"/>
      <c r="B389" s="10"/>
      <c r="C389" s="10"/>
      <c r="D389" s="10"/>
      <c r="E389" s="38"/>
      <c r="F389" s="10"/>
      <c r="G389" s="10"/>
      <c r="H389" s="10"/>
      <c r="I389" s="3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1:38">
      <c r="A390" s="10"/>
      <c r="B390" s="10"/>
      <c r="C390" s="10"/>
      <c r="D390" s="10"/>
      <c r="E390" s="38"/>
      <c r="F390" s="10"/>
      <c r="G390" s="10"/>
      <c r="H390" s="10"/>
      <c r="I390" s="3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1:38">
      <c r="A391" s="10"/>
      <c r="B391" s="10"/>
      <c r="C391" s="10"/>
      <c r="D391" s="10"/>
      <c r="E391" s="38"/>
      <c r="F391" s="10"/>
      <c r="G391" s="10"/>
      <c r="H391" s="10"/>
      <c r="I391" s="3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1:38">
      <c r="A392" s="10"/>
      <c r="B392" s="10"/>
      <c r="C392" s="10"/>
      <c r="D392" s="10"/>
      <c r="E392" s="38"/>
      <c r="F392" s="10"/>
      <c r="G392" s="10"/>
      <c r="H392" s="10"/>
      <c r="I392" s="3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1:38">
      <c r="A393" s="10"/>
      <c r="B393" s="10"/>
      <c r="C393" s="10"/>
      <c r="D393" s="10"/>
      <c r="E393" s="38"/>
      <c r="F393" s="10"/>
      <c r="G393" s="10"/>
      <c r="H393" s="10"/>
      <c r="I393" s="3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1:38">
      <c r="A394" s="10"/>
      <c r="B394" s="10"/>
      <c r="C394" s="10"/>
      <c r="D394" s="10"/>
      <c r="E394" s="38"/>
      <c r="F394" s="10"/>
      <c r="G394" s="10"/>
      <c r="H394" s="10"/>
      <c r="I394" s="3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1:38">
      <c r="A395" s="10"/>
      <c r="B395" s="10"/>
      <c r="C395" s="10"/>
      <c r="D395" s="10"/>
      <c r="E395" s="38"/>
      <c r="F395" s="10"/>
      <c r="G395" s="10"/>
      <c r="H395" s="10"/>
      <c r="I395" s="3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1:38">
      <c r="A396" s="10"/>
      <c r="B396" s="10"/>
      <c r="C396" s="10"/>
      <c r="D396" s="10"/>
      <c r="E396" s="38"/>
      <c r="F396" s="10"/>
      <c r="G396" s="10"/>
      <c r="H396" s="10"/>
      <c r="I396" s="3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1:38">
      <c r="A397" s="10"/>
      <c r="B397" s="10"/>
      <c r="C397" s="10"/>
      <c r="D397" s="10"/>
      <c r="E397" s="38"/>
      <c r="F397" s="10"/>
      <c r="G397" s="10"/>
      <c r="H397" s="10"/>
      <c r="I397" s="3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1:38">
      <c r="A398" s="10"/>
      <c r="B398" s="10"/>
      <c r="C398" s="10"/>
      <c r="D398" s="10"/>
      <c r="E398" s="38"/>
      <c r="F398" s="10"/>
      <c r="G398" s="10"/>
      <c r="H398" s="10"/>
      <c r="I398" s="3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1:38">
      <c r="A399" s="10"/>
      <c r="B399" s="10"/>
      <c r="C399" s="10"/>
      <c r="D399" s="10"/>
      <c r="E399" s="38"/>
      <c r="F399" s="10"/>
      <c r="G399" s="10"/>
      <c r="H399" s="10"/>
      <c r="I399" s="3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1:38">
      <c r="A400" s="10"/>
      <c r="B400" s="10"/>
      <c r="C400" s="10"/>
      <c r="D400" s="10"/>
      <c r="E400" s="38"/>
      <c r="F400" s="10"/>
      <c r="G400" s="10"/>
      <c r="H400" s="10"/>
      <c r="I400" s="3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1:38">
      <c r="A401" s="10"/>
      <c r="B401" s="10"/>
      <c r="C401" s="10"/>
      <c r="D401" s="10"/>
      <c r="E401" s="38"/>
      <c r="F401" s="10"/>
      <c r="G401" s="10"/>
      <c r="H401" s="10"/>
      <c r="I401" s="3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1:38">
      <c r="A402" s="10"/>
      <c r="B402" s="10"/>
      <c r="C402" s="10"/>
      <c r="D402" s="10"/>
      <c r="E402" s="38"/>
      <c r="F402" s="10"/>
      <c r="G402" s="10"/>
      <c r="H402" s="10"/>
      <c r="I402" s="3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1:38">
      <c r="A403" s="10"/>
      <c r="B403" s="10"/>
      <c r="C403" s="10"/>
      <c r="D403" s="10"/>
      <c r="E403" s="38"/>
      <c r="F403" s="10"/>
      <c r="G403" s="10"/>
      <c r="H403" s="10"/>
      <c r="I403" s="3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1:38">
      <c r="A404" s="10"/>
      <c r="B404" s="10"/>
      <c r="C404" s="10"/>
      <c r="D404" s="10"/>
      <c r="E404" s="38"/>
      <c r="F404" s="10"/>
      <c r="G404" s="10"/>
      <c r="H404" s="10"/>
      <c r="I404" s="3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1:38">
      <c r="A405" s="10"/>
      <c r="B405" s="10"/>
      <c r="C405" s="10"/>
      <c r="D405" s="10"/>
      <c r="E405" s="38"/>
      <c r="F405" s="10"/>
      <c r="G405" s="10"/>
      <c r="H405" s="10"/>
      <c r="I405" s="3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1:38">
      <c r="A406" s="10"/>
      <c r="B406" s="10"/>
      <c r="C406" s="10"/>
      <c r="D406" s="10"/>
      <c r="E406" s="38"/>
      <c r="F406" s="10"/>
      <c r="G406" s="10"/>
      <c r="H406" s="10"/>
      <c r="I406" s="3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1:38">
      <c r="A407" s="10"/>
      <c r="B407" s="10"/>
      <c r="C407" s="10"/>
      <c r="D407" s="10"/>
      <c r="E407" s="38"/>
      <c r="F407" s="10"/>
      <c r="G407" s="10"/>
      <c r="H407" s="10"/>
      <c r="I407" s="3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1:38">
      <c r="A408" s="10"/>
      <c r="B408" s="10"/>
      <c r="C408" s="10"/>
      <c r="D408" s="10"/>
      <c r="E408" s="38"/>
      <c r="F408" s="10"/>
      <c r="G408" s="10"/>
      <c r="H408" s="10"/>
      <c r="I408" s="3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1:38">
      <c r="A409" s="10"/>
      <c r="B409" s="10"/>
      <c r="C409" s="10"/>
      <c r="D409" s="10"/>
      <c r="E409" s="38"/>
      <c r="F409" s="10"/>
      <c r="G409" s="10"/>
      <c r="H409" s="10"/>
      <c r="I409" s="3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1:38">
      <c r="A410" s="10"/>
      <c r="B410" s="10"/>
      <c r="C410" s="10"/>
      <c r="D410" s="10"/>
      <c r="E410" s="38"/>
      <c r="F410" s="10"/>
      <c r="G410" s="10"/>
      <c r="H410" s="10"/>
      <c r="I410" s="3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1:38">
      <c r="A411" s="10"/>
      <c r="B411" s="10"/>
      <c r="C411" s="10"/>
      <c r="D411" s="10"/>
      <c r="E411" s="38"/>
      <c r="F411" s="10"/>
      <c r="G411" s="10"/>
      <c r="H411" s="10"/>
      <c r="I411" s="3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1:38">
      <c r="A412" s="10"/>
      <c r="B412" s="10"/>
      <c r="C412" s="10"/>
      <c r="D412" s="10"/>
      <c r="E412" s="38"/>
      <c r="F412" s="10"/>
      <c r="G412" s="10"/>
      <c r="H412" s="10"/>
      <c r="I412" s="3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1:38">
      <c r="A413" s="10"/>
      <c r="B413" s="10"/>
      <c r="C413" s="10"/>
      <c r="D413" s="10"/>
      <c r="E413" s="38"/>
      <c r="F413" s="10"/>
      <c r="G413" s="10"/>
      <c r="H413" s="10"/>
      <c r="I413" s="3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1:38">
      <c r="A414" s="10"/>
      <c r="B414" s="10"/>
      <c r="C414" s="10"/>
      <c r="D414" s="10"/>
      <c r="E414" s="38"/>
      <c r="F414" s="10"/>
      <c r="G414" s="10"/>
      <c r="H414" s="10"/>
      <c r="I414" s="3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1:38">
      <c r="A415" s="10"/>
      <c r="B415" s="10"/>
      <c r="C415" s="10"/>
      <c r="D415" s="10"/>
      <c r="E415" s="38"/>
      <c r="F415" s="10"/>
      <c r="G415" s="10"/>
      <c r="H415" s="10"/>
      <c r="I415" s="3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1:38">
      <c r="A416" s="10"/>
      <c r="B416" s="10"/>
      <c r="C416" s="10"/>
      <c r="D416" s="10"/>
      <c r="E416" s="38"/>
      <c r="F416" s="10"/>
      <c r="G416" s="10"/>
      <c r="H416" s="10"/>
      <c r="I416" s="3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1:38">
      <c r="A417" s="10"/>
      <c r="B417" s="10"/>
      <c r="C417" s="10"/>
      <c r="D417" s="10"/>
      <c r="E417" s="38"/>
      <c r="F417" s="10"/>
      <c r="G417" s="10"/>
      <c r="H417" s="10"/>
      <c r="I417" s="3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1:38">
      <c r="A418" s="10"/>
      <c r="B418" s="10"/>
      <c r="C418" s="10"/>
      <c r="D418" s="10"/>
      <c r="E418" s="38"/>
      <c r="F418" s="10"/>
      <c r="G418" s="10"/>
      <c r="H418" s="10"/>
      <c r="I418" s="3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1:38">
      <c r="A419" s="10"/>
      <c r="B419" s="10"/>
      <c r="C419" s="10"/>
      <c r="D419" s="10"/>
      <c r="E419" s="38"/>
      <c r="F419" s="10"/>
      <c r="G419" s="10"/>
      <c r="H419" s="10"/>
      <c r="I419" s="3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1:38">
      <c r="A420" s="10"/>
      <c r="B420" s="10"/>
      <c r="C420" s="10"/>
      <c r="D420" s="10"/>
      <c r="E420" s="38"/>
      <c r="F420" s="10"/>
      <c r="G420" s="10"/>
      <c r="H420" s="10"/>
      <c r="I420" s="3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1:38">
      <c r="A421" s="10"/>
      <c r="B421" s="10"/>
      <c r="C421" s="10"/>
      <c r="D421" s="10"/>
      <c r="E421" s="38"/>
      <c r="F421" s="10"/>
      <c r="G421" s="10"/>
      <c r="H421" s="10"/>
      <c r="I421" s="3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1:38">
      <c r="A422" s="10"/>
      <c r="B422" s="10"/>
      <c r="C422" s="10"/>
      <c r="D422" s="10"/>
      <c r="E422" s="38"/>
      <c r="F422" s="10"/>
      <c r="G422" s="10"/>
      <c r="H422" s="10"/>
      <c r="I422" s="3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1:38">
      <c r="A423" s="10"/>
      <c r="B423" s="10"/>
      <c r="C423" s="10"/>
      <c r="D423" s="10"/>
      <c r="E423" s="38"/>
      <c r="F423" s="10"/>
      <c r="G423" s="10"/>
      <c r="H423" s="10"/>
      <c r="I423" s="3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1:38">
      <c r="A424" s="10"/>
      <c r="B424" s="10"/>
      <c r="C424" s="10"/>
      <c r="D424" s="10"/>
      <c r="E424" s="38"/>
      <c r="F424" s="10"/>
      <c r="G424" s="10"/>
      <c r="H424" s="10"/>
      <c r="I424" s="3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10"/>
      <c r="B425" s="10"/>
      <c r="C425" s="10"/>
      <c r="D425" s="10"/>
      <c r="E425" s="38"/>
      <c r="F425" s="10"/>
      <c r="G425" s="10"/>
      <c r="H425" s="10"/>
      <c r="I425" s="3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10"/>
      <c r="B426" s="10"/>
      <c r="C426" s="10"/>
      <c r="D426" s="10"/>
      <c r="E426" s="38"/>
      <c r="F426" s="10"/>
      <c r="G426" s="10"/>
      <c r="H426" s="10"/>
      <c r="I426" s="3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10"/>
      <c r="B427" s="10"/>
      <c r="C427" s="10"/>
      <c r="D427" s="10"/>
      <c r="E427" s="38"/>
      <c r="F427" s="10"/>
      <c r="G427" s="10"/>
      <c r="H427" s="10"/>
      <c r="I427" s="3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10"/>
      <c r="B428" s="10"/>
      <c r="C428" s="10"/>
      <c r="D428" s="10"/>
      <c r="E428" s="38"/>
      <c r="F428" s="10"/>
      <c r="G428" s="10"/>
      <c r="H428" s="10"/>
      <c r="I428" s="3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10"/>
      <c r="B429" s="10"/>
      <c r="C429" s="10"/>
      <c r="D429" s="10"/>
      <c r="E429" s="38"/>
      <c r="F429" s="10"/>
      <c r="G429" s="10"/>
      <c r="H429" s="10"/>
      <c r="I429" s="3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10"/>
      <c r="B430" s="10"/>
      <c r="C430" s="10"/>
      <c r="D430" s="10"/>
      <c r="E430" s="38"/>
      <c r="F430" s="10"/>
      <c r="G430" s="10"/>
      <c r="H430" s="10"/>
      <c r="I430" s="3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10"/>
      <c r="B431" s="10"/>
      <c r="C431" s="10"/>
      <c r="D431" s="10"/>
      <c r="E431" s="38"/>
      <c r="F431" s="10"/>
      <c r="G431" s="10"/>
      <c r="H431" s="10"/>
      <c r="I431" s="3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10"/>
      <c r="B432" s="10"/>
      <c r="C432" s="10"/>
      <c r="D432" s="10"/>
      <c r="E432" s="38"/>
      <c r="F432" s="10"/>
      <c r="G432" s="10"/>
      <c r="H432" s="10"/>
      <c r="I432" s="3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10"/>
      <c r="B433" s="10"/>
      <c r="C433" s="10"/>
      <c r="D433" s="10"/>
      <c r="E433" s="38"/>
      <c r="F433" s="10"/>
      <c r="G433" s="10"/>
      <c r="H433" s="10"/>
      <c r="I433" s="3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10"/>
      <c r="B434" s="10"/>
      <c r="C434" s="10"/>
      <c r="D434" s="10"/>
      <c r="E434" s="38"/>
      <c r="F434" s="10"/>
      <c r="G434" s="10"/>
      <c r="H434" s="10"/>
      <c r="I434" s="3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10"/>
      <c r="B435" s="10"/>
      <c r="C435" s="10"/>
      <c r="D435" s="10"/>
      <c r="E435" s="38"/>
      <c r="F435" s="10"/>
      <c r="G435" s="10"/>
      <c r="H435" s="10"/>
      <c r="I435" s="3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10"/>
      <c r="B436" s="10"/>
      <c r="C436" s="10"/>
      <c r="D436" s="10"/>
      <c r="E436" s="38"/>
      <c r="F436" s="10"/>
      <c r="G436" s="10"/>
      <c r="H436" s="10"/>
      <c r="I436" s="3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10"/>
      <c r="B437" s="10"/>
      <c r="C437" s="10"/>
      <c r="D437" s="10"/>
      <c r="E437" s="38"/>
      <c r="F437" s="10"/>
      <c r="G437" s="10"/>
      <c r="H437" s="10"/>
      <c r="I437" s="3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10"/>
      <c r="B438" s="10"/>
      <c r="C438" s="10"/>
      <c r="D438" s="10"/>
      <c r="E438" s="38"/>
      <c r="F438" s="10"/>
      <c r="G438" s="10"/>
      <c r="H438" s="10"/>
      <c r="I438" s="3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10"/>
      <c r="B439" s="10"/>
      <c r="C439" s="10"/>
      <c r="D439" s="10"/>
      <c r="E439" s="38"/>
      <c r="F439" s="10"/>
      <c r="G439" s="10"/>
      <c r="H439" s="10"/>
      <c r="I439" s="3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10"/>
      <c r="B440" s="10"/>
      <c r="C440" s="10"/>
      <c r="D440" s="10"/>
      <c r="E440" s="38"/>
      <c r="F440" s="10"/>
      <c r="G440" s="10"/>
      <c r="H440" s="10"/>
      <c r="I440" s="3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10"/>
      <c r="B441" s="10"/>
      <c r="C441" s="10"/>
      <c r="D441" s="10"/>
      <c r="E441" s="38"/>
      <c r="F441" s="10"/>
      <c r="G441" s="10"/>
      <c r="H441" s="10"/>
      <c r="I441" s="3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10"/>
      <c r="B442" s="10"/>
      <c r="C442" s="10"/>
      <c r="D442" s="10"/>
      <c r="E442" s="38"/>
      <c r="F442" s="10"/>
      <c r="G442" s="10"/>
      <c r="H442" s="10"/>
      <c r="I442" s="3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10"/>
      <c r="B443" s="10"/>
      <c r="C443" s="10"/>
      <c r="D443" s="10"/>
      <c r="E443" s="38"/>
      <c r="F443" s="10"/>
      <c r="G443" s="10"/>
      <c r="H443" s="10"/>
      <c r="I443" s="3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10"/>
      <c r="B444" s="10"/>
      <c r="C444" s="10"/>
      <c r="D444" s="10"/>
      <c r="E444" s="38"/>
      <c r="F444" s="10"/>
      <c r="G444" s="10"/>
      <c r="H444" s="10"/>
      <c r="I444" s="3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10"/>
      <c r="B445" s="10"/>
      <c r="C445" s="10"/>
      <c r="D445" s="10"/>
      <c r="E445" s="38"/>
      <c r="F445" s="10"/>
      <c r="G445" s="10"/>
      <c r="H445" s="10"/>
      <c r="I445" s="3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10"/>
      <c r="B446" s="10"/>
      <c r="C446" s="10"/>
      <c r="D446" s="10"/>
      <c r="E446" s="38"/>
      <c r="F446" s="10"/>
      <c r="G446" s="10"/>
      <c r="H446" s="10"/>
      <c r="I446" s="3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10"/>
      <c r="B447" s="10"/>
      <c r="C447" s="10"/>
      <c r="D447" s="10"/>
      <c r="E447" s="38"/>
      <c r="F447" s="10"/>
      <c r="G447" s="10"/>
      <c r="H447" s="10"/>
      <c r="I447" s="3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10"/>
      <c r="B448" s="10"/>
      <c r="C448" s="10"/>
      <c r="D448" s="10"/>
      <c r="E448" s="38"/>
      <c r="F448" s="10"/>
      <c r="G448" s="10"/>
      <c r="H448" s="10"/>
      <c r="I448" s="3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10"/>
      <c r="B449" s="10"/>
      <c r="C449" s="10"/>
      <c r="D449" s="10"/>
      <c r="E449" s="38"/>
      <c r="F449" s="10"/>
      <c r="G449" s="10"/>
      <c r="H449" s="10"/>
      <c r="I449" s="3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10"/>
      <c r="B450" s="10"/>
      <c r="C450" s="10"/>
      <c r="D450" s="10"/>
      <c r="E450" s="38"/>
      <c r="F450" s="10"/>
      <c r="G450" s="10"/>
      <c r="H450" s="10"/>
      <c r="I450" s="3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10"/>
      <c r="B451" s="10"/>
      <c r="C451" s="10"/>
      <c r="D451" s="10"/>
      <c r="E451" s="38"/>
      <c r="F451" s="10"/>
      <c r="G451" s="10"/>
      <c r="H451" s="10"/>
      <c r="I451" s="3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10"/>
      <c r="B452" s="10"/>
      <c r="C452" s="10"/>
      <c r="D452" s="10"/>
      <c r="E452" s="38"/>
      <c r="F452" s="10"/>
      <c r="G452" s="10"/>
      <c r="H452" s="10"/>
      <c r="I452" s="3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10"/>
      <c r="B453" s="10"/>
      <c r="C453" s="10"/>
      <c r="D453" s="10"/>
      <c r="E453" s="38"/>
      <c r="F453" s="10"/>
      <c r="G453" s="10"/>
      <c r="H453" s="10"/>
      <c r="I453" s="3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10"/>
      <c r="B454" s="10"/>
      <c r="C454" s="10"/>
      <c r="D454" s="10"/>
      <c r="E454" s="38"/>
      <c r="F454" s="10"/>
      <c r="G454" s="10"/>
      <c r="H454" s="10"/>
      <c r="I454" s="3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10"/>
      <c r="B455" s="10"/>
      <c r="C455" s="10"/>
      <c r="D455" s="10"/>
      <c r="E455" s="38"/>
      <c r="F455" s="10"/>
      <c r="G455" s="10"/>
      <c r="H455" s="10"/>
      <c r="I455" s="3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10"/>
      <c r="B456" s="10"/>
      <c r="C456" s="10"/>
      <c r="D456" s="10"/>
      <c r="E456" s="38"/>
      <c r="F456" s="10"/>
      <c r="G456" s="10"/>
      <c r="H456" s="10"/>
      <c r="I456" s="3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10"/>
      <c r="B457" s="10"/>
      <c r="C457" s="10"/>
      <c r="D457" s="10"/>
      <c r="E457" s="38"/>
      <c r="F457" s="10"/>
      <c r="G457" s="10"/>
      <c r="H457" s="10"/>
      <c r="I457" s="3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10"/>
      <c r="B458" s="10"/>
      <c r="C458" s="10"/>
      <c r="D458" s="10"/>
      <c r="E458" s="38"/>
      <c r="F458" s="10"/>
      <c r="G458" s="10"/>
      <c r="H458" s="10"/>
      <c r="I458" s="3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10"/>
      <c r="B459" s="10"/>
      <c r="C459" s="10"/>
      <c r="D459" s="10"/>
      <c r="E459" s="38"/>
      <c r="F459" s="10"/>
      <c r="G459" s="10"/>
      <c r="H459" s="10"/>
      <c r="I459" s="3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10"/>
      <c r="B460" s="10"/>
      <c r="C460" s="10"/>
      <c r="D460" s="10"/>
      <c r="E460" s="38"/>
      <c r="F460" s="10"/>
      <c r="G460" s="10"/>
      <c r="H460" s="10"/>
      <c r="I460" s="3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10"/>
      <c r="B461" s="10"/>
      <c r="C461" s="10"/>
      <c r="D461" s="10"/>
      <c r="E461" s="38"/>
      <c r="F461" s="10"/>
      <c r="G461" s="10"/>
      <c r="H461" s="10"/>
      <c r="I461" s="3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10"/>
      <c r="B462" s="10"/>
      <c r="C462" s="10"/>
      <c r="D462" s="10"/>
      <c r="E462" s="38"/>
      <c r="F462" s="10"/>
      <c r="G462" s="10"/>
      <c r="H462" s="10"/>
      <c r="I462" s="3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10"/>
      <c r="B463" s="10"/>
      <c r="C463" s="10"/>
      <c r="D463" s="10"/>
      <c r="E463" s="38"/>
      <c r="F463" s="10"/>
      <c r="G463" s="10"/>
      <c r="H463" s="10"/>
      <c r="I463" s="3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10"/>
      <c r="B464" s="10"/>
      <c r="C464" s="10"/>
      <c r="D464" s="10"/>
      <c r="E464" s="38"/>
      <c r="F464" s="10"/>
      <c r="G464" s="10"/>
      <c r="H464" s="10"/>
      <c r="I464" s="3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10"/>
      <c r="B465" s="10"/>
      <c r="C465" s="10"/>
      <c r="D465" s="10"/>
      <c r="E465" s="38"/>
      <c r="F465" s="10"/>
      <c r="G465" s="10"/>
      <c r="H465" s="10"/>
      <c r="I465" s="3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10"/>
      <c r="B466" s="10"/>
      <c r="C466" s="10"/>
      <c r="D466" s="10"/>
      <c r="E466" s="38"/>
      <c r="F466" s="10"/>
      <c r="G466" s="10"/>
      <c r="H466" s="10"/>
      <c r="I466" s="3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10"/>
      <c r="B467" s="10"/>
      <c r="C467" s="10"/>
      <c r="D467" s="10"/>
      <c r="E467" s="38"/>
      <c r="F467" s="10"/>
      <c r="G467" s="10"/>
      <c r="H467" s="10"/>
      <c r="I467" s="3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10"/>
      <c r="B468" s="10"/>
      <c r="C468" s="10"/>
      <c r="D468" s="10"/>
      <c r="E468" s="38"/>
      <c r="F468" s="10"/>
      <c r="G468" s="10"/>
      <c r="H468" s="10"/>
      <c r="I468" s="3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10"/>
      <c r="B469" s="10"/>
      <c r="C469" s="10"/>
      <c r="D469" s="10"/>
      <c r="E469" s="38"/>
      <c r="F469" s="10"/>
      <c r="G469" s="10"/>
      <c r="H469" s="10"/>
      <c r="I469" s="3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10"/>
      <c r="B470" s="10"/>
      <c r="C470" s="10"/>
      <c r="D470" s="10"/>
      <c r="E470" s="38"/>
      <c r="F470" s="10"/>
      <c r="G470" s="10"/>
      <c r="H470" s="10"/>
      <c r="I470" s="3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10"/>
      <c r="B471" s="10"/>
      <c r="C471" s="10"/>
      <c r="D471" s="10"/>
      <c r="E471" s="38"/>
      <c r="F471" s="10"/>
      <c r="G471" s="10"/>
      <c r="H471" s="10"/>
      <c r="I471" s="3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10"/>
      <c r="B472" s="10"/>
      <c r="C472" s="10"/>
      <c r="D472" s="10"/>
      <c r="E472" s="38"/>
      <c r="F472" s="10"/>
      <c r="G472" s="10"/>
      <c r="H472" s="10"/>
      <c r="I472" s="3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10"/>
      <c r="B473" s="10"/>
      <c r="C473" s="10"/>
      <c r="D473" s="10"/>
      <c r="E473" s="38"/>
      <c r="F473" s="10"/>
      <c r="G473" s="10"/>
      <c r="H473" s="10"/>
      <c r="I473" s="3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10"/>
      <c r="B474" s="10"/>
      <c r="C474" s="10"/>
      <c r="D474" s="10"/>
      <c r="E474" s="38"/>
      <c r="F474" s="10"/>
      <c r="G474" s="10"/>
      <c r="H474" s="10"/>
      <c r="I474" s="3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10"/>
      <c r="B475" s="10"/>
      <c r="C475" s="10"/>
      <c r="D475" s="10"/>
      <c r="E475" s="38"/>
      <c r="F475" s="10"/>
      <c r="G475" s="10"/>
      <c r="H475" s="10"/>
      <c r="I475" s="3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10"/>
      <c r="B476" s="10"/>
      <c r="C476" s="10"/>
      <c r="D476" s="10"/>
      <c r="E476" s="38"/>
      <c r="F476" s="10"/>
      <c r="G476" s="10"/>
      <c r="H476" s="10"/>
      <c r="I476" s="3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10"/>
      <c r="B477" s="10"/>
      <c r="C477" s="10"/>
      <c r="D477" s="10"/>
      <c r="E477" s="38"/>
      <c r="F477" s="10"/>
      <c r="G477" s="10"/>
      <c r="H477" s="10"/>
      <c r="I477" s="3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10"/>
      <c r="B478" s="10"/>
      <c r="C478" s="10"/>
      <c r="D478" s="10"/>
      <c r="E478" s="38"/>
      <c r="F478" s="10"/>
      <c r="G478" s="10"/>
      <c r="H478" s="10"/>
      <c r="I478" s="3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10"/>
      <c r="B479" s="10"/>
      <c r="C479" s="10"/>
      <c r="D479" s="10"/>
      <c r="E479" s="38"/>
      <c r="F479" s="10"/>
      <c r="G479" s="10"/>
      <c r="H479" s="10"/>
      <c r="I479" s="3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10"/>
      <c r="B480" s="10"/>
      <c r="C480" s="10"/>
      <c r="D480" s="10"/>
      <c r="E480" s="38"/>
      <c r="F480" s="10"/>
      <c r="G480" s="10"/>
      <c r="H480" s="10"/>
      <c r="I480" s="3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10"/>
      <c r="B481" s="10"/>
      <c r="C481" s="10"/>
      <c r="D481" s="10"/>
      <c r="E481" s="38"/>
      <c r="F481" s="10"/>
      <c r="G481" s="10"/>
      <c r="H481" s="10"/>
      <c r="I481" s="3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10"/>
      <c r="B482" s="10"/>
      <c r="C482" s="10"/>
      <c r="D482" s="10"/>
      <c r="E482" s="38"/>
      <c r="F482" s="10"/>
      <c r="G482" s="10"/>
      <c r="H482" s="10"/>
      <c r="I482" s="3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10"/>
      <c r="B483" s="10"/>
      <c r="C483" s="10"/>
      <c r="D483" s="10"/>
      <c r="E483" s="38"/>
      <c r="F483" s="10"/>
      <c r="G483" s="10"/>
      <c r="H483" s="10"/>
      <c r="I483" s="3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10"/>
      <c r="B484" s="10"/>
      <c r="C484" s="10"/>
      <c r="D484" s="10"/>
      <c r="E484" s="38"/>
      <c r="F484" s="10"/>
      <c r="G484" s="10"/>
      <c r="H484" s="10"/>
      <c r="I484" s="3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10"/>
      <c r="B485" s="10"/>
      <c r="C485" s="10"/>
      <c r="D485" s="10"/>
      <c r="E485" s="38"/>
      <c r="F485" s="10"/>
      <c r="G485" s="10"/>
      <c r="H485" s="10"/>
      <c r="I485" s="3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10"/>
      <c r="B486" s="10"/>
      <c r="C486" s="10"/>
      <c r="D486" s="10"/>
      <c r="E486" s="38"/>
      <c r="F486" s="10"/>
      <c r="G486" s="10"/>
      <c r="H486" s="10"/>
      <c r="I486" s="3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10"/>
      <c r="B487" s="10"/>
      <c r="C487" s="10"/>
      <c r="D487" s="10"/>
      <c r="E487" s="38"/>
      <c r="F487" s="10"/>
      <c r="G487" s="10"/>
      <c r="H487" s="10"/>
      <c r="I487" s="3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10"/>
      <c r="B488" s="10"/>
      <c r="C488" s="10"/>
      <c r="D488" s="10"/>
      <c r="E488" s="38"/>
      <c r="F488" s="10"/>
      <c r="G488" s="10"/>
      <c r="H488" s="10"/>
      <c r="I488" s="3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10"/>
      <c r="B489" s="10"/>
      <c r="C489" s="10"/>
      <c r="D489" s="10"/>
      <c r="E489" s="38"/>
      <c r="F489" s="10"/>
      <c r="G489" s="10"/>
      <c r="H489" s="10"/>
      <c r="I489" s="3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10"/>
      <c r="B490" s="10"/>
      <c r="C490" s="10"/>
      <c r="D490" s="10"/>
      <c r="E490" s="38"/>
      <c r="F490" s="10"/>
      <c r="G490" s="10"/>
      <c r="H490" s="10"/>
      <c r="I490" s="3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10"/>
      <c r="B491" s="10"/>
      <c r="C491" s="10"/>
      <c r="D491" s="10"/>
      <c r="E491" s="38"/>
      <c r="F491" s="10"/>
      <c r="G491" s="10"/>
      <c r="H491" s="10"/>
      <c r="I491" s="3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10"/>
      <c r="B492" s="10"/>
      <c r="C492" s="10"/>
      <c r="D492" s="10"/>
      <c r="E492" s="38"/>
      <c r="F492" s="10"/>
      <c r="G492" s="10"/>
      <c r="H492" s="10"/>
      <c r="I492" s="3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10"/>
      <c r="B493" s="10"/>
      <c r="C493" s="10"/>
      <c r="D493" s="10"/>
      <c r="E493" s="38"/>
      <c r="F493" s="10"/>
      <c r="G493" s="10"/>
      <c r="H493" s="10"/>
      <c r="I493" s="3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10"/>
      <c r="B494" s="10"/>
      <c r="C494" s="10"/>
      <c r="D494" s="10"/>
      <c r="E494" s="38"/>
      <c r="F494" s="10"/>
      <c r="G494" s="10"/>
      <c r="H494" s="10"/>
      <c r="I494" s="3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10"/>
      <c r="B495" s="10"/>
      <c r="C495" s="10"/>
      <c r="D495" s="10"/>
      <c r="E495" s="38"/>
      <c r="F495" s="10"/>
      <c r="G495" s="10"/>
      <c r="H495" s="10"/>
      <c r="I495" s="3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10"/>
      <c r="B496" s="10"/>
      <c r="C496" s="10"/>
      <c r="D496" s="10"/>
      <c r="E496" s="38"/>
      <c r="F496" s="10"/>
      <c r="G496" s="10"/>
      <c r="H496" s="10"/>
      <c r="I496" s="3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10"/>
      <c r="B497" s="10"/>
      <c r="C497" s="10"/>
      <c r="D497" s="10"/>
      <c r="E497" s="38"/>
      <c r="F497" s="10"/>
      <c r="G497" s="10"/>
      <c r="H497" s="10"/>
      <c r="I497" s="3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10"/>
      <c r="B498" s="10"/>
      <c r="C498" s="10"/>
      <c r="D498" s="10"/>
      <c r="E498" s="38"/>
      <c r="F498" s="10"/>
      <c r="G498" s="10"/>
      <c r="H498" s="10"/>
      <c r="I498" s="3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10"/>
      <c r="B499" s="10"/>
      <c r="C499" s="10"/>
      <c r="D499" s="10"/>
      <c r="E499" s="38"/>
      <c r="F499" s="10"/>
      <c r="G499" s="10"/>
      <c r="H499" s="10"/>
      <c r="I499" s="3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10"/>
      <c r="B500" s="10"/>
      <c r="C500" s="10"/>
      <c r="D500" s="10"/>
      <c r="E500" s="38"/>
      <c r="F500" s="10"/>
      <c r="G500" s="10"/>
      <c r="H500" s="10"/>
      <c r="I500" s="3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10"/>
      <c r="B501" s="10"/>
      <c r="C501" s="10"/>
      <c r="D501" s="10"/>
      <c r="E501" s="38"/>
      <c r="F501" s="10"/>
      <c r="G501" s="10"/>
      <c r="H501" s="10"/>
      <c r="I501" s="3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10"/>
      <c r="B502" s="10"/>
      <c r="C502" s="10"/>
      <c r="D502" s="10"/>
      <c r="E502" s="38"/>
      <c r="F502" s="10"/>
      <c r="G502" s="10"/>
      <c r="H502" s="10"/>
      <c r="I502" s="3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10"/>
      <c r="B503" s="10"/>
      <c r="C503" s="10"/>
      <c r="D503" s="10"/>
      <c r="E503" s="38"/>
      <c r="F503" s="10"/>
      <c r="G503" s="10"/>
      <c r="H503" s="10"/>
      <c r="I503" s="3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10"/>
      <c r="B504" s="10"/>
      <c r="C504" s="10"/>
      <c r="D504" s="10"/>
      <c r="E504" s="38"/>
      <c r="F504" s="10"/>
      <c r="G504" s="10"/>
      <c r="H504" s="10"/>
      <c r="I504" s="3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10"/>
      <c r="B505" s="10"/>
      <c r="C505" s="10"/>
      <c r="D505" s="10"/>
      <c r="E505" s="38"/>
      <c r="F505" s="10"/>
      <c r="G505" s="10"/>
      <c r="H505" s="10"/>
      <c r="I505" s="3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10"/>
      <c r="B506" s="10"/>
      <c r="C506" s="10"/>
      <c r="D506" s="10"/>
      <c r="E506" s="38"/>
      <c r="F506" s="10"/>
      <c r="G506" s="10"/>
      <c r="H506" s="10"/>
      <c r="I506" s="3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10"/>
      <c r="B507" s="10"/>
      <c r="C507" s="10"/>
      <c r="D507" s="10"/>
      <c r="E507" s="38"/>
      <c r="F507" s="10"/>
      <c r="G507" s="10"/>
      <c r="H507" s="10"/>
      <c r="I507" s="3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10"/>
      <c r="B508" s="10"/>
      <c r="C508" s="10"/>
      <c r="D508" s="10"/>
      <c r="E508" s="38"/>
      <c r="F508" s="10"/>
      <c r="G508" s="10"/>
      <c r="H508" s="10"/>
      <c r="I508" s="3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10"/>
      <c r="B509" s="10"/>
      <c r="C509" s="10"/>
      <c r="D509" s="10"/>
      <c r="E509" s="38"/>
      <c r="F509" s="10"/>
      <c r="G509" s="10"/>
      <c r="H509" s="10"/>
      <c r="I509" s="3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10"/>
      <c r="B510" s="10"/>
      <c r="C510" s="10"/>
      <c r="D510" s="10"/>
      <c r="E510" s="38"/>
      <c r="F510" s="10"/>
      <c r="G510" s="10"/>
      <c r="H510" s="10"/>
      <c r="I510" s="3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10"/>
      <c r="B511" s="10"/>
      <c r="C511" s="10"/>
      <c r="D511" s="10"/>
      <c r="E511" s="38"/>
      <c r="F511" s="10"/>
      <c r="G511" s="10"/>
      <c r="H511" s="10"/>
      <c r="I511" s="3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10"/>
      <c r="B512" s="10"/>
      <c r="C512" s="10"/>
      <c r="D512" s="10"/>
      <c r="E512" s="38"/>
      <c r="F512" s="10"/>
      <c r="G512" s="10"/>
      <c r="H512" s="10"/>
      <c r="I512" s="3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10"/>
      <c r="B513" s="10"/>
      <c r="C513" s="10"/>
      <c r="D513" s="10"/>
      <c r="E513" s="38"/>
      <c r="F513" s="10"/>
      <c r="G513" s="10"/>
      <c r="H513" s="10"/>
      <c r="I513" s="3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10"/>
      <c r="B514" s="10"/>
      <c r="C514" s="10"/>
      <c r="D514" s="10"/>
      <c r="E514" s="38"/>
      <c r="F514" s="10"/>
      <c r="G514" s="10"/>
      <c r="H514" s="10"/>
      <c r="I514" s="3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10"/>
      <c r="B515" s="10"/>
      <c r="C515" s="10"/>
      <c r="D515" s="10"/>
      <c r="E515" s="38"/>
      <c r="F515" s="10"/>
      <c r="G515" s="10"/>
      <c r="H515" s="10"/>
      <c r="I515" s="3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10"/>
      <c r="B516" s="10"/>
      <c r="C516" s="10"/>
      <c r="D516" s="10"/>
      <c r="E516" s="38"/>
      <c r="F516" s="10"/>
      <c r="G516" s="10"/>
      <c r="H516" s="10"/>
      <c r="I516" s="3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10"/>
      <c r="B517" s="10"/>
      <c r="C517" s="10"/>
      <c r="D517" s="10"/>
      <c r="E517" s="38"/>
      <c r="F517" s="10"/>
      <c r="G517" s="10"/>
      <c r="H517" s="10"/>
      <c r="I517" s="3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10"/>
      <c r="B518" s="10"/>
      <c r="C518" s="10"/>
      <c r="D518" s="10"/>
      <c r="E518" s="38"/>
      <c r="F518" s="10"/>
      <c r="G518" s="10"/>
      <c r="H518" s="10"/>
      <c r="I518" s="3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10"/>
      <c r="B519" s="10"/>
      <c r="C519" s="10"/>
      <c r="D519" s="10"/>
      <c r="E519" s="38"/>
      <c r="F519" s="10"/>
      <c r="G519" s="10"/>
      <c r="H519" s="10"/>
      <c r="I519" s="3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10"/>
      <c r="B520" s="10"/>
      <c r="C520" s="10"/>
      <c r="D520" s="10"/>
      <c r="E520" s="38"/>
      <c r="F520" s="10"/>
      <c r="G520" s="10"/>
      <c r="H520" s="10"/>
      <c r="I520" s="3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10"/>
      <c r="B521" s="10"/>
      <c r="C521" s="10"/>
      <c r="D521" s="10"/>
      <c r="E521" s="38"/>
      <c r="F521" s="10"/>
      <c r="G521" s="10"/>
      <c r="H521" s="10"/>
      <c r="I521" s="3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10"/>
      <c r="B522" s="10"/>
      <c r="C522" s="10"/>
      <c r="D522" s="10"/>
      <c r="E522" s="38"/>
      <c r="F522" s="10"/>
      <c r="G522" s="10"/>
      <c r="H522" s="10"/>
      <c r="I522" s="3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10"/>
      <c r="B523" s="10"/>
      <c r="C523" s="10"/>
      <c r="D523" s="10"/>
      <c r="E523" s="38"/>
      <c r="F523" s="10"/>
      <c r="G523" s="10"/>
      <c r="H523" s="10"/>
      <c r="I523" s="3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10"/>
      <c r="B524" s="10"/>
      <c r="C524" s="10"/>
      <c r="D524" s="10"/>
      <c r="E524" s="38"/>
      <c r="F524" s="10"/>
      <c r="G524" s="10"/>
      <c r="H524" s="10"/>
      <c r="I524" s="3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10"/>
      <c r="B525" s="10"/>
      <c r="C525" s="10"/>
      <c r="D525" s="10"/>
      <c r="E525" s="38"/>
      <c r="F525" s="10"/>
      <c r="G525" s="10"/>
      <c r="H525" s="10"/>
      <c r="I525" s="3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10"/>
      <c r="B526" s="10"/>
      <c r="C526" s="10"/>
      <c r="D526" s="10"/>
      <c r="E526" s="38"/>
      <c r="F526" s="10"/>
      <c r="G526" s="10"/>
      <c r="H526" s="10"/>
      <c r="I526" s="3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10"/>
      <c r="B527" s="10"/>
      <c r="C527" s="10"/>
      <c r="D527" s="10"/>
      <c r="E527" s="38"/>
      <c r="F527" s="10"/>
      <c r="G527" s="10"/>
      <c r="H527" s="10"/>
      <c r="I527" s="3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10"/>
      <c r="B528" s="10"/>
      <c r="C528" s="10"/>
      <c r="D528" s="10"/>
      <c r="E528" s="38"/>
      <c r="F528" s="10"/>
      <c r="G528" s="10"/>
      <c r="H528" s="10"/>
      <c r="I528" s="3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10"/>
      <c r="B529" s="10"/>
      <c r="C529" s="10"/>
      <c r="D529" s="10"/>
      <c r="E529" s="38"/>
      <c r="F529" s="10"/>
      <c r="G529" s="10"/>
      <c r="H529" s="10"/>
      <c r="I529" s="3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10"/>
      <c r="B530" s="10"/>
      <c r="C530" s="10"/>
      <c r="D530" s="10"/>
      <c r="E530" s="38"/>
      <c r="F530" s="10"/>
      <c r="G530" s="10"/>
      <c r="H530" s="10"/>
      <c r="I530" s="3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10"/>
      <c r="B531" s="10"/>
      <c r="C531" s="10"/>
      <c r="D531" s="10"/>
      <c r="E531" s="38"/>
      <c r="F531" s="10"/>
      <c r="G531" s="10"/>
      <c r="H531" s="10"/>
      <c r="I531" s="3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10"/>
      <c r="B532" s="10"/>
      <c r="C532" s="10"/>
      <c r="D532" s="10"/>
      <c r="E532" s="38"/>
      <c r="F532" s="10"/>
      <c r="G532" s="10"/>
      <c r="H532" s="10"/>
      <c r="I532" s="3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10"/>
      <c r="B533" s="10"/>
      <c r="C533" s="10"/>
      <c r="D533" s="10"/>
      <c r="E533" s="38"/>
      <c r="F533" s="10"/>
      <c r="G533" s="10"/>
      <c r="H533" s="10"/>
      <c r="I533" s="3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10"/>
      <c r="B534" s="10"/>
      <c r="C534" s="10"/>
      <c r="D534" s="10"/>
      <c r="E534" s="38"/>
      <c r="F534" s="10"/>
      <c r="G534" s="10"/>
      <c r="H534" s="10"/>
      <c r="I534" s="3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10"/>
      <c r="B535" s="10"/>
      <c r="C535" s="10"/>
      <c r="D535" s="10"/>
      <c r="E535" s="38"/>
      <c r="F535" s="10"/>
      <c r="G535" s="10"/>
      <c r="H535" s="10"/>
      <c r="I535" s="3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10"/>
      <c r="B536" s="10"/>
      <c r="C536" s="10"/>
      <c r="D536" s="10"/>
      <c r="E536" s="38"/>
      <c r="F536" s="10"/>
      <c r="G536" s="10"/>
      <c r="H536" s="10"/>
      <c r="I536" s="3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10"/>
      <c r="B537" s="10"/>
      <c r="C537" s="10"/>
      <c r="D537" s="10"/>
      <c r="E537" s="38"/>
      <c r="F537" s="10"/>
      <c r="G537" s="10"/>
      <c r="H537" s="10"/>
      <c r="I537" s="3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10"/>
      <c r="B538" s="10"/>
      <c r="C538" s="10"/>
      <c r="D538" s="10"/>
      <c r="E538" s="38"/>
      <c r="F538" s="10"/>
      <c r="G538" s="10"/>
      <c r="H538" s="10"/>
      <c r="I538" s="3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10"/>
      <c r="B539" s="10"/>
      <c r="C539" s="10"/>
      <c r="D539" s="10"/>
      <c r="E539" s="38"/>
      <c r="F539" s="10"/>
      <c r="G539" s="10"/>
      <c r="H539" s="10"/>
      <c r="I539" s="3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10"/>
      <c r="B540" s="10"/>
      <c r="C540" s="10"/>
      <c r="D540" s="10"/>
      <c r="E540" s="38"/>
      <c r="F540" s="10"/>
      <c r="G540" s="10"/>
      <c r="H540" s="10"/>
      <c r="I540" s="3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10"/>
      <c r="B541" s="10"/>
      <c r="C541" s="10"/>
      <c r="D541" s="10"/>
      <c r="E541" s="38"/>
      <c r="F541" s="10"/>
      <c r="G541" s="10"/>
      <c r="H541" s="10"/>
      <c r="I541" s="3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10"/>
      <c r="B542" s="10"/>
      <c r="C542" s="10"/>
      <c r="D542" s="10"/>
      <c r="E542" s="38"/>
      <c r="F542" s="10"/>
      <c r="G542" s="10"/>
      <c r="H542" s="10"/>
      <c r="I542" s="3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10"/>
      <c r="B543" s="10"/>
      <c r="C543" s="10"/>
      <c r="D543" s="10"/>
      <c r="E543" s="38"/>
      <c r="F543" s="10"/>
      <c r="G543" s="10"/>
      <c r="H543" s="10"/>
      <c r="I543" s="3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10"/>
      <c r="B544" s="10"/>
      <c r="C544" s="10"/>
      <c r="D544" s="10"/>
      <c r="E544" s="38"/>
      <c r="F544" s="10"/>
      <c r="G544" s="10"/>
      <c r="H544" s="10"/>
      <c r="I544" s="3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10"/>
      <c r="B545" s="10"/>
      <c r="C545" s="10"/>
      <c r="D545" s="10"/>
      <c r="E545" s="38"/>
      <c r="F545" s="10"/>
      <c r="G545" s="10"/>
      <c r="H545" s="10"/>
      <c r="I545" s="3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10"/>
      <c r="B546" s="10"/>
      <c r="C546" s="10"/>
      <c r="D546" s="10"/>
      <c r="E546" s="38"/>
      <c r="F546" s="10"/>
      <c r="G546" s="10"/>
      <c r="H546" s="10"/>
      <c r="I546" s="3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10"/>
      <c r="B547" s="10"/>
      <c r="C547" s="10"/>
      <c r="D547" s="10"/>
      <c r="E547" s="38"/>
      <c r="F547" s="10"/>
      <c r="G547" s="10"/>
      <c r="H547" s="10"/>
      <c r="I547" s="3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10"/>
      <c r="B548" s="10"/>
      <c r="C548" s="10"/>
      <c r="D548" s="10"/>
      <c r="E548" s="38"/>
      <c r="F548" s="10"/>
      <c r="G548" s="10"/>
      <c r="H548" s="10"/>
      <c r="I548" s="3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10"/>
      <c r="B549" s="10"/>
      <c r="C549" s="10"/>
      <c r="D549" s="10"/>
      <c r="E549" s="38"/>
      <c r="F549" s="10"/>
      <c r="G549" s="10"/>
      <c r="H549" s="10"/>
      <c r="I549" s="3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10"/>
      <c r="B550" s="10"/>
      <c r="C550" s="10"/>
      <c r="D550" s="10"/>
      <c r="E550" s="38"/>
      <c r="F550" s="10"/>
      <c r="G550" s="10"/>
      <c r="H550" s="10"/>
      <c r="I550" s="3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10"/>
      <c r="B551" s="10"/>
      <c r="C551" s="10"/>
      <c r="D551" s="10"/>
      <c r="E551" s="38"/>
      <c r="F551" s="10"/>
      <c r="G551" s="10"/>
      <c r="H551" s="10"/>
      <c r="I551" s="3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10"/>
      <c r="B552" s="10"/>
      <c r="C552" s="10"/>
      <c r="D552" s="10"/>
      <c r="E552" s="38"/>
      <c r="F552" s="10"/>
      <c r="G552" s="10"/>
      <c r="H552" s="10"/>
      <c r="I552" s="3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10"/>
      <c r="B553" s="10"/>
      <c r="C553" s="10"/>
      <c r="D553" s="10"/>
      <c r="E553" s="38"/>
      <c r="F553" s="10"/>
      <c r="G553" s="10"/>
      <c r="H553" s="10"/>
      <c r="I553" s="3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10"/>
      <c r="B554" s="10"/>
      <c r="C554" s="10"/>
      <c r="D554" s="10"/>
      <c r="E554" s="38"/>
      <c r="F554" s="10"/>
      <c r="G554" s="10"/>
      <c r="H554" s="10"/>
      <c r="I554" s="3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10"/>
      <c r="B555" s="10"/>
      <c r="C555" s="10"/>
      <c r="D555" s="10"/>
      <c r="E555" s="38"/>
      <c r="F555" s="10"/>
      <c r="G555" s="10"/>
      <c r="H555" s="10"/>
      <c r="I555" s="3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10"/>
      <c r="B556" s="10"/>
      <c r="C556" s="10"/>
      <c r="D556" s="10"/>
      <c r="E556" s="38"/>
      <c r="F556" s="10"/>
      <c r="G556" s="10"/>
      <c r="H556" s="10"/>
      <c r="I556" s="3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10"/>
      <c r="B557" s="10"/>
      <c r="C557" s="10"/>
      <c r="D557" s="10"/>
      <c r="E557" s="38"/>
      <c r="F557" s="10"/>
      <c r="G557" s="10"/>
      <c r="H557" s="10"/>
      <c r="I557" s="3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10"/>
      <c r="B558" s="10"/>
      <c r="C558" s="10"/>
      <c r="D558" s="10"/>
      <c r="E558" s="38"/>
      <c r="F558" s="10"/>
      <c r="G558" s="10"/>
      <c r="H558" s="10"/>
      <c r="I558" s="3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10"/>
      <c r="B559" s="10"/>
      <c r="C559" s="10"/>
      <c r="D559" s="10"/>
      <c r="E559" s="38"/>
      <c r="F559" s="10"/>
      <c r="G559" s="10"/>
      <c r="H559" s="10"/>
      <c r="I559" s="3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10"/>
      <c r="B560" s="10"/>
      <c r="C560" s="10"/>
      <c r="D560" s="10"/>
      <c r="E560" s="38"/>
      <c r="F560" s="10"/>
      <c r="G560" s="10"/>
      <c r="H560" s="10"/>
      <c r="I560" s="3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10"/>
      <c r="B561" s="10"/>
      <c r="C561" s="10"/>
      <c r="D561" s="10"/>
      <c r="E561" s="38"/>
      <c r="F561" s="10"/>
      <c r="G561" s="10"/>
      <c r="H561" s="10"/>
      <c r="I561" s="3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10"/>
      <c r="B562" s="10"/>
      <c r="C562" s="10"/>
      <c r="D562" s="10"/>
      <c r="E562" s="38"/>
      <c r="F562" s="10"/>
      <c r="G562" s="10"/>
      <c r="H562" s="10"/>
      <c r="I562" s="3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10"/>
      <c r="B563" s="10"/>
      <c r="C563" s="10"/>
      <c r="D563" s="10"/>
      <c r="E563" s="38"/>
      <c r="F563" s="10"/>
      <c r="G563" s="10"/>
      <c r="H563" s="10"/>
      <c r="I563" s="3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10"/>
      <c r="B564" s="10"/>
      <c r="C564" s="10"/>
      <c r="D564" s="10"/>
      <c r="E564" s="38"/>
      <c r="F564" s="10"/>
      <c r="G564" s="10"/>
      <c r="H564" s="10"/>
      <c r="I564" s="3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10"/>
      <c r="B565" s="10"/>
      <c r="C565" s="10"/>
      <c r="D565" s="10"/>
      <c r="E565" s="38"/>
      <c r="F565" s="10"/>
      <c r="G565" s="10"/>
      <c r="H565" s="10"/>
      <c r="I565" s="3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10"/>
      <c r="B566" s="10"/>
      <c r="C566" s="10"/>
      <c r="D566" s="10"/>
      <c r="E566" s="38"/>
      <c r="F566" s="10"/>
      <c r="G566" s="10"/>
      <c r="H566" s="10"/>
      <c r="I566" s="3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10"/>
      <c r="B567" s="10"/>
      <c r="C567" s="10"/>
      <c r="D567" s="10"/>
      <c r="E567" s="38"/>
      <c r="F567" s="10"/>
      <c r="G567" s="10"/>
      <c r="H567" s="10"/>
      <c r="I567" s="3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10"/>
      <c r="B568" s="10"/>
      <c r="C568" s="10"/>
      <c r="D568" s="10"/>
      <c r="E568" s="38"/>
      <c r="F568" s="10"/>
      <c r="G568" s="10"/>
      <c r="H568" s="10"/>
      <c r="I568" s="3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10"/>
      <c r="B569" s="10"/>
      <c r="C569" s="10"/>
      <c r="D569" s="10"/>
      <c r="E569" s="38"/>
      <c r="F569" s="10"/>
      <c r="G569" s="10"/>
      <c r="H569" s="10"/>
      <c r="I569" s="3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10"/>
      <c r="B570" s="10"/>
      <c r="C570" s="10"/>
      <c r="D570" s="10"/>
      <c r="E570" s="38"/>
      <c r="F570" s="10"/>
      <c r="G570" s="10"/>
      <c r="H570" s="10"/>
      <c r="I570" s="3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10"/>
      <c r="B571" s="10"/>
      <c r="C571" s="10"/>
      <c r="D571" s="10"/>
      <c r="E571" s="38"/>
      <c r="F571" s="10"/>
      <c r="G571" s="10"/>
      <c r="H571" s="10"/>
      <c r="I571" s="3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10"/>
      <c r="B572" s="10"/>
      <c r="C572" s="10"/>
      <c r="D572" s="10"/>
      <c r="E572" s="38"/>
      <c r="F572" s="10"/>
      <c r="G572" s="10"/>
      <c r="H572" s="10"/>
      <c r="I572" s="3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10"/>
      <c r="B573" s="10"/>
      <c r="C573" s="10"/>
      <c r="D573" s="10"/>
      <c r="E573" s="38"/>
      <c r="F573" s="10"/>
      <c r="G573" s="10"/>
      <c r="H573" s="10"/>
      <c r="I573" s="3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10"/>
      <c r="B574" s="10"/>
      <c r="C574" s="10"/>
      <c r="D574" s="10"/>
      <c r="E574" s="38"/>
      <c r="F574" s="10"/>
      <c r="G574" s="10"/>
      <c r="H574" s="10"/>
      <c r="I574" s="3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10"/>
      <c r="B575" s="10"/>
      <c r="C575" s="10"/>
      <c r="D575" s="10"/>
      <c r="E575" s="38"/>
      <c r="F575" s="10"/>
      <c r="G575" s="10"/>
      <c r="H575" s="10"/>
      <c r="I575" s="3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10"/>
      <c r="B576" s="10"/>
      <c r="C576" s="10"/>
      <c r="D576" s="10"/>
      <c r="E576" s="38"/>
      <c r="F576" s="10"/>
      <c r="G576" s="10"/>
      <c r="H576" s="10"/>
      <c r="I576" s="3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8">
      <c r="A577" s="10"/>
      <c r="B577" s="10"/>
      <c r="C577" s="10"/>
      <c r="D577" s="10"/>
      <c r="E577" s="38"/>
      <c r="F577" s="10"/>
      <c r="G577" s="10"/>
      <c r="H577" s="10"/>
      <c r="I577" s="3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8">
      <c r="A578" s="10"/>
      <c r="B578" s="10"/>
      <c r="C578" s="10"/>
      <c r="D578" s="10"/>
      <c r="E578" s="38"/>
      <c r="F578" s="10"/>
      <c r="G578" s="10"/>
      <c r="H578" s="10"/>
      <c r="I578" s="3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8">
      <c r="A579" s="10"/>
      <c r="B579" s="10"/>
      <c r="C579" s="10"/>
      <c r="D579" s="10"/>
      <c r="E579" s="38"/>
      <c r="F579" s="10"/>
      <c r="G579" s="10"/>
      <c r="H579" s="10"/>
      <c r="I579" s="3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8">
      <c r="A580" s="10"/>
      <c r="B580" s="10"/>
      <c r="C580" s="10"/>
      <c r="D580" s="10"/>
      <c r="E580" s="38"/>
      <c r="F580" s="10"/>
      <c r="G580" s="10"/>
      <c r="H580" s="10"/>
      <c r="I580" s="3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8">
      <c r="A581" s="10"/>
      <c r="B581" s="10"/>
      <c r="C581" s="10"/>
      <c r="D581" s="10"/>
      <c r="E581" s="38"/>
      <c r="F581" s="10"/>
      <c r="G581" s="10"/>
      <c r="H581" s="10"/>
      <c r="I581" s="3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8">
      <c r="A582" s="10"/>
      <c r="B582" s="10"/>
      <c r="C582" s="10"/>
      <c r="D582" s="10"/>
      <c r="E582" s="38"/>
      <c r="F582" s="10"/>
      <c r="G582" s="10"/>
      <c r="H582" s="10"/>
      <c r="I582" s="3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</row>
    <row r="583" spans="1:38">
      <c r="A583" s="10"/>
      <c r="B583" s="10"/>
      <c r="C583" s="10"/>
      <c r="D583" s="10"/>
      <c r="E583" s="38"/>
      <c r="F583" s="10"/>
      <c r="G583" s="10"/>
      <c r="H583" s="10"/>
      <c r="I583" s="3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1:38">
      <c r="A584" s="10"/>
      <c r="B584" s="10"/>
      <c r="C584" s="10"/>
      <c r="D584" s="10"/>
      <c r="E584" s="38"/>
      <c r="F584" s="10"/>
      <c r="G584" s="10"/>
      <c r="H584" s="10"/>
      <c r="I584" s="3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1:38">
      <c r="A585" s="10"/>
      <c r="B585" s="10"/>
      <c r="C585" s="10"/>
      <c r="D585" s="10"/>
      <c r="E585" s="38"/>
      <c r="F585" s="10"/>
      <c r="G585" s="10"/>
      <c r="H585" s="10"/>
      <c r="I585" s="3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</row>
    <row r="586" spans="1:38">
      <c r="A586" s="10"/>
      <c r="B586" s="10"/>
      <c r="C586" s="10"/>
      <c r="D586" s="10"/>
      <c r="E586" s="38"/>
      <c r="F586" s="10"/>
      <c r="G586" s="10"/>
      <c r="H586" s="10"/>
      <c r="I586" s="3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</row>
    <row r="587" spans="1:38">
      <c r="A587" s="10"/>
      <c r="B587" s="10"/>
      <c r="C587" s="10"/>
      <c r="D587" s="10"/>
      <c r="E587" s="38"/>
      <c r="F587" s="10"/>
      <c r="G587" s="10"/>
      <c r="H587" s="10"/>
      <c r="I587" s="3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</row>
    <row r="588" spans="1:38">
      <c r="A588" s="10"/>
      <c r="B588" s="10"/>
      <c r="C588" s="10"/>
      <c r="D588" s="10"/>
      <c r="E588" s="38"/>
      <c r="F588" s="10"/>
      <c r="G588" s="10"/>
      <c r="H588" s="10"/>
      <c r="I588" s="3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</row>
    <row r="589" spans="1:38">
      <c r="A589" s="10"/>
      <c r="B589" s="10"/>
      <c r="C589" s="10"/>
      <c r="D589" s="10"/>
      <c r="E589" s="38"/>
      <c r="F589" s="10"/>
      <c r="G589" s="10"/>
      <c r="H589" s="10"/>
      <c r="I589" s="3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1:38">
      <c r="A590" s="10"/>
      <c r="B590" s="10"/>
      <c r="C590" s="10"/>
      <c r="D590" s="10"/>
      <c r="E590" s="38"/>
      <c r="F590" s="10"/>
      <c r="G590" s="10"/>
      <c r="H590" s="10"/>
      <c r="I590" s="3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1:38">
      <c r="A591" s="10"/>
      <c r="B591" s="10"/>
      <c r="C591" s="10"/>
      <c r="D591" s="10"/>
      <c r="E591" s="38"/>
      <c r="F591" s="10"/>
      <c r="G591" s="10"/>
      <c r="H591" s="10"/>
      <c r="I591" s="3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</row>
    <row r="592" spans="1:38">
      <c r="A592" s="10"/>
      <c r="B592" s="10"/>
      <c r="C592" s="10"/>
      <c r="D592" s="10"/>
      <c r="E592" s="38"/>
      <c r="F592" s="10"/>
      <c r="G592" s="10"/>
      <c r="H592" s="10"/>
      <c r="I592" s="3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1:38">
      <c r="A593" s="10"/>
      <c r="B593" s="10"/>
      <c r="C593" s="10"/>
      <c r="D593" s="10"/>
      <c r="E593" s="38"/>
      <c r="F593" s="10"/>
      <c r="G593" s="10"/>
      <c r="H593" s="10"/>
      <c r="I593" s="3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1:38">
      <c r="A594" s="10"/>
      <c r="B594" s="10"/>
      <c r="C594" s="10"/>
      <c r="D594" s="10"/>
      <c r="E594" s="38"/>
      <c r="F594" s="10"/>
      <c r="G594" s="10"/>
      <c r="H594" s="10"/>
      <c r="I594" s="3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1:38">
      <c r="A595" s="10"/>
      <c r="B595" s="10"/>
      <c r="C595" s="10"/>
      <c r="D595" s="10"/>
      <c r="E595" s="38"/>
      <c r="F595" s="10"/>
      <c r="G595" s="10"/>
      <c r="H595" s="10"/>
      <c r="I595" s="3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1:38">
      <c r="A596" s="10"/>
      <c r="B596" s="10"/>
      <c r="C596" s="10"/>
      <c r="D596" s="10"/>
      <c r="E596" s="38"/>
      <c r="F596" s="10"/>
      <c r="G596" s="10"/>
      <c r="H596" s="10"/>
      <c r="I596" s="3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1:38">
      <c r="A597" s="10"/>
      <c r="B597" s="10"/>
      <c r="C597" s="10"/>
      <c r="D597" s="10"/>
      <c r="E597" s="38"/>
      <c r="F597" s="10"/>
      <c r="G597" s="10"/>
      <c r="H597" s="10"/>
      <c r="I597" s="3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1:38">
      <c r="A598" s="10"/>
      <c r="B598" s="10"/>
      <c r="C598" s="10"/>
      <c r="D598" s="10"/>
      <c r="E598" s="38"/>
      <c r="F598" s="10"/>
      <c r="G598" s="10"/>
      <c r="H598" s="10"/>
      <c r="I598" s="3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</row>
    <row r="599" spans="1:38">
      <c r="A599" s="10"/>
      <c r="B599" s="10"/>
      <c r="C599" s="10"/>
      <c r="D599" s="10"/>
      <c r="E599" s="38"/>
      <c r="F599" s="10"/>
      <c r="G599" s="10"/>
      <c r="H599" s="10"/>
      <c r="I599" s="3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</row>
    <row r="600" spans="1:38">
      <c r="A600" s="10"/>
      <c r="B600" s="10"/>
      <c r="C600" s="10"/>
      <c r="D600" s="10"/>
      <c r="E600" s="38"/>
      <c r="F600" s="10"/>
      <c r="G600" s="10"/>
      <c r="H600" s="10"/>
      <c r="I600" s="3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</row>
    <row r="601" spans="1:38">
      <c r="A601" s="10"/>
      <c r="B601" s="10"/>
      <c r="C601" s="10"/>
      <c r="D601" s="10"/>
      <c r="E601" s="38"/>
      <c r="F601" s="10"/>
      <c r="G601" s="10"/>
      <c r="H601" s="10"/>
      <c r="I601" s="3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</row>
    <row r="602" spans="1:38">
      <c r="A602" s="10"/>
      <c r="B602" s="10"/>
      <c r="C602" s="10"/>
      <c r="D602" s="10"/>
      <c r="E602" s="38"/>
      <c r="F602" s="10"/>
      <c r="G602" s="10"/>
      <c r="H602" s="10"/>
      <c r="I602" s="3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</row>
    <row r="603" spans="1:38">
      <c r="A603" s="10"/>
      <c r="B603" s="10"/>
      <c r="C603" s="10"/>
      <c r="D603" s="10"/>
      <c r="E603" s="38"/>
      <c r="F603" s="10"/>
      <c r="G603" s="10"/>
      <c r="H603" s="10"/>
      <c r="I603" s="3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</row>
    <row r="604" spans="1:38">
      <c r="A604" s="10"/>
      <c r="B604" s="10"/>
      <c r="C604" s="10"/>
      <c r="D604" s="10"/>
      <c r="E604" s="38"/>
      <c r="F604" s="10"/>
      <c r="G604" s="10"/>
      <c r="H604" s="10"/>
      <c r="I604" s="3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1:38">
      <c r="A605" s="10"/>
      <c r="B605" s="10"/>
      <c r="C605" s="10"/>
      <c r="D605" s="10"/>
      <c r="E605" s="38"/>
      <c r="F605" s="10"/>
      <c r="G605" s="10"/>
      <c r="H605" s="10"/>
      <c r="I605" s="3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</row>
    <row r="606" spans="1:38">
      <c r="A606" s="10"/>
      <c r="B606" s="10"/>
      <c r="C606" s="10"/>
      <c r="D606" s="10"/>
      <c r="E606" s="38"/>
      <c r="F606" s="10"/>
      <c r="G606" s="10"/>
      <c r="H606" s="10"/>
      <c r="I606" s="3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</row>
    <row r="607" spans="1:38">
      <c r="A607" s="10"/>
      <c r="B607" s="10"/>
      <c r="C607" s="10"/>
      <c r="D607" s="10"/>
      <c r="E607" s="38"/>
      <c r="F607" s="10"/>
      <c r="G607" s="10"/>
      <c r="H607" s="10"/>
      <c r="I607" s="3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</row>
    <row r="608" spans="1:38">
      <c r="A608" s="10"/>
      <c r="B608" s="10"/>
      <c r="C608" s="10"/>
      <c r="D608" s="10"/>
      <c r="E608" s="38"/>
      <c r="F608" s="10"/>
      <c r="G608" s="10"/>
      <c r="H608" s="10"/>
      <c r="I608" s="3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</row>
    <row r="609" spans="1:38">
      <c r="A609" s="10"/>
      <c r="B609" s="10"/>
      <c r="C609" s="10"/>
      <c r="D609" s="10"/>
      <c r="E609" s="38"/>
      <c r="F609" s="10"/>
      <c r="G609" s="10"/>
      <c r="H609" s="10"/>
      <c r="I609" s="3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</row>
    <row r="610" spans="1:38">
      <c r="A610" s="10"/>
      <c r="B610" s="10"/>
      <c r="C610" s="10"/>
      <c r="D610" s="10"/>
      <c r="E610" s="38"/>
      <c r="F610" s="10"/>
      <c r="G610" s="10"/>
      <c r="H610" s="10"/>
      <c r="I610" s="3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</row>
    <row r="611" spans="1:38">
      <c r="A611" s="10"/>
      <c r="B611" s="10"/>
      <c r="C611" s="10"/>
      <c r="D611" s="10"/>
      <c r="E611" s="38"/>
      <c r="F611" s="10"/>
      <c r="G611" s="10"/>
      <c r="H611" s="10"/>
      <c r="I611" s="3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1:38">
      <c r="A612" s="10"/>
      <c r="B612" s="10"/>
      <c r="C612" s="10"/>
      <c r="D612" s="10"/>
      <c r="E612" s="38"/>
      <c r="F612" s="10"/>
      <c r="G612" s="10"/>
      <c r="H612" s="10"/>
      <c r="I612" s="3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</row>
    <row r="613" spans="1:38">
      <c r="A613" s="10"/>
      <c r="B613" s="10"/>
      <c r="C613" s="10"/>
      <c r="D613" s="10"/>
      <c r="E613" s="38"/>
      <c r="F613" s="10"/>
      <c r="G613" s="10"/>
      <c r="H613" s="10"/>
      <c r="I613" s="3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1:38">
      <c r="A614" s="10"/>
      <c r="B614" s="10"/>
      <c r="C614" s="10"/>
      <c r="D614" s="10"/>
      <c r="E614" s="38"/>
      <c r="F614" s="10"/>
      <c r="G614" s="10"/>
      <c r="H614" s="10"/>
      <c r="I614" s="3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1:38">
      <c r="A615" s="10"/>
      <c r="B615" s="10"/>
      <c r="C615" s="10"/>
      <c r="D615" s="10"/>
      <c r="E615" s="38"/>
      <c r="F615" s="10"/>
      <c r="G615" s="10"/>
      <c r="H615" s="10"/>
      <c r="I615" s="3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</row>
    <row r="616" spans="1:38">
      <c r="A616" s="10"/>
      <c r="B616" s="10"/>
      <c r="C616" s="10"/>
      <c r="D616" s="10"/>
      <c r="E616" s="38"/>
      <c r="F616" s="10"/>
      <c r="G616" s="10"/>
      <c r="H616" s="10"/>
      <c r="I616" s="3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>
      <c r="A617" s="10"/>
      <c r="B617" s="10"/>
      <c r="C617" s="10"/>
      <c r="D617" s="10"/>
      <c r="E617" s="38"/>
      <c r="F617" s="10"/>
      <c r="G617" s="10"/>
      <c r="H617" s="10"/>
      <c r="I617" s="3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>
      <c r="A618" s="10"/>
      <c r="B618" s="10"/>
      <c r="C618" s="10"/>
      <c r="D618" s="10"/>
      <c r="E618" s="38"/>
      <c r="F618" s="10"/>
      <c r="G618" s="10"/>
      <c r="H618" s="10"/>
      <c r="I618" s="3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>
      <c r="A619" s="10"/>
      <c r="B619" s="10"/>
      <c r="C619" s="10"/>
      <c r="D619" s="10"/>
      <c r="E619" s="38"/>
      <c r="F619" s="10"/>
      <c r="G619" s="10"/>
      <c r="H619" s="10"/>
      <c r="I619" s="3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</row>
    <row r="620" spans="1:38">
      <c r="A620" s="10"/>
      <c r="B620" s="10"/>
      <c r="C620" s="10"/>
      <c r="D620" s="10"/>
      <c r="E620" s="38"/>
      <c r="F620" s="10"/>
      <c r="G620" s="10"/>
      <c r="H620" s="10"/>
      <c r="I620" s="3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1:38">
      <c r="A621" s="10"/>
      <c r="B621" s="10"/>
      <c r="C621" s="10"/>
      <c r="D621" s="10"/>
      <c r="E621" s="38"/>
      <c r="F621" s="10"/>
      <c r="G621" s="10"/>
      <c r="H621" s="10"/>
      <c r="I621" s="3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>
      <c r="A622" s="10"/>
      <c r="B622" s="10"/>
      <c r="C622" s="10"/>
      <c r="D622" s="10"/>
      <c r="E622" s="38"/>
      <c r="F622" s="10"/>
      <c r="G622" s="10"/>
      <c r="H622" s="10"/>
      <c r="I622" s="3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>
      <c r="A623" s="10"/>
      <c r="B623" s="10"/>
      <c r="C623" s="10"/>
      <c r="D623" s="10"/>
      <c r="E623" s="38"/>
      <c r="F623" s="10"/>
      <c r="G623" s="10"/>
      <c r="H623" s="10"/>
      <c r="I623" s="3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</row>
    <row r="624" spans="1:38">
      <c r="A624" s="10"/>
      <c r="B624" s="10"/>
      <c r="C624" s="10"/>
      <c r="D624" s="10"/>
      <c r="E624" s="38"/>
      <c r="F624" s="10"/>
      <c r="G624" s="10"/>
      <c r="H624" s="10"/>
      <c r="I624" s="3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</row>
    <row r="625" spans="1:38">
      <c r="A625" s="10"/>
      <c r="B625" s="10"/>
      <c r="C625" s="10"/>
      <c r="D625" s="10"/>
      <c r="E625" s="38"/>
      <c r="F625" s="10"/>
      <c r="G625" s="10"/>
      <c r="H625" s="10"/>
      <c r="I625" s="3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</row>
    <row r="626" spans="1:38">
      <c r="A626" s="10"/>
      <c r="B626" s="10"/>
      <c r="C626" s="10"/>
      <c r="D626" s="10"/>
      <c r="E626" s="38"/>
      <c r="F626" s="10"/>
      <c r="G626" s="10"/>
      <c r="H626" s="10"/>
      <c r="I626" s="3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1:38">
      <c r="A627" s="10"/>
      <c r="B627" s="10"/>
      <c r="C627" s="10"/>
      <c r="D627" s="10"/>
      <c r="E627" s="38"/>
      <c r="F627" s="10"/>
      <c r="G627" s="10"/>
      <c r="H627" s="10"/>
      <c r="I627" s="3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</row>
    <row r="628" spans="1:38">
      <c r="A628" s="10"/>
      <c r="B628" s="10"/>
      <c r="C628" s="10"/>
      <c r="D628" s="10"/>
      <c r="E628" s="38"/>
      <c r="F628" s="10"/>
      <c r="G628" s="10"/>
      <c r="H628" s="10"/>
      <c r="I628" s="3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1:38">
      <c r="A629" s="10"/>
      <c r="B629" s="10"/>
      <c r="C629" s="10"/>
      <c r="D629" s="10"/>
      <c r="E629" s="38"/>
      <c r="F629" s="10"/>
      <c r="G629" s="10"/>
      <c r="H629" s="10"/>
      <c r="I629" s="3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</row>
    <row r="630" spans="1:38">
      <c r="A630" s="10"/>
      <c r="B630" s="10"/>
      <c r="C630" s="10"/>
      <c r="D630" s="10"/>
      <c r="E630" s="38"/>
      <c r="F630" s="10"/>
      <c r="G630" s="10"/>
      <c r="H630" s="10"/>
      <c r="I630" s="3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</row>
    <row r="631" spans="1:38">
      <c r="A631" s="10"/>
      <c r="B631" s="10"/>
      <c r="C631" s="10"/>
      <c r="D631" s="10"/>
      <c r="E631" s="38"/>
      <c r="F631" s="10"/>
      <c r="G631" s="10"/>
      <c r="H631" s="10"/>
      <c r="I631" s="3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1:38">
      <c r="A632" s="10"/>
      <c r="B632" s="10"/>
      <c r="C632" s="10"/>
      <c r="D632" s="10"/>
      <c r="E632" s="38"/>
      <c r="F632" s="10"/>
      <c r="G632" s="10"/>
      <c r="H632" s="10"/>
      <c r="I632" s="3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>
      <c r="A633" s="10"/>
      <c r="B633" s="10"/>
      <c r="C633" s="10"/>
      <c r="D633" s="10"/>
      <c r="E633" s="38"/>
      <c r="F633" s="10"/>
      <c r="G633" s="10"/>
      <c r="H633" s="10"/>
      <c r="I633" s="3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>
      <c r="A634" s="10"/>
      <c r="B634" s="10"/>
      <c r="C634" s="10"/>
      <c r="D634" s="10"/>
      <c r="E634" s="38"/>
      <c r="F634" s="10"/>
      <c r="G634" s="10"/>
      <c r="H634" s="10"/>
      <c r="I634" s="3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1:38">
      <c r="A635" s="10"/>
      <c r="B635" s="10"/>
      <c r="C635" s="10"/>
      <c r="D635" s="10"/>
      <c r="E635" s="38"/>
      <c r="F635" s="10"/>
      <c r="G635" s="10"/>
      <c r="H635" s="10"/>
      <c r="I635" s="3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>
      <c r="A636" s="10"/>
      <c r="B636" s="10"/>
      <c r="C636" s="10"/>
      <c r="D636" s="10"/>
      <c r="E636" s="38"/>
      <c r="F636" s="10"/>
      <c r="G636" s="10"/>
      <c r="H636" s="10"/>
      <c r="I636" s="3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>
      <c r="A637" s="10"/>
      <c r="B637" s="10"/>
      <c r="C637" s="10"/>
      <c r="D637" s="10"/>
      <c r="E637" s="38"/>
      <c r="F637" s="10"/>
      <c r="G637" s="10"/>
      <c r="H637" s="10"/>
      <c r="I637" s="3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1:38">
      <c r="A638" s="10"/>
      <c r="B638" s="10"/>
      <c r="C638" s="10"/>
      <c r="D638" s="10"/>
      <c r="E638" s="38"/>
      <c r="F638" s="10"/>
      <c r="G638" s="10"/>
      <c r="H638" s="10"/>
      <c r="I638" s="3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>
      <c r="A639" s="10"/>
      <c r="B639" s="10"/>
      <c r="C639" s="10"/>
      <c r="D639" s="10"/>
      <c r="E639" s="38"/>
      <c r="F639" s="10"/>
      <c r="G639" s="10"/>
      <c r="H639" s="10"/>
      <c r="I639" s="3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>
      <c r="A640" s="10"/>
      <c r="B640" s="10"/>
      <c r="C640" s="10"/>
      <c r="D640" s="10"/>
      <c r="E640" s="38"/>
      <c r="F640" s="10"/>
      <c r="G640" s="10"/>
      <c r="H640" s="10"/>
      <c r="I640" s="3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</row>
    <row r="641" spans="1:38">
      <c r="A641" s="10"/>
      <c r="B641" s="10"/>
      <c r="C641" s="10"/>
      <c r="D641" s="10"/>
      <c r="E641" s="38"/>
      <c r="F641" s="10"/>
      <c r="G641" s="10"/>
      <c r="H641" s="10"/>
      <c r="I641" s="3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>
      <c r="A642" s="10"/>
      <c r="B642" s="10"/>
      <c r="C642" s="10"/>
      <c r="D642" s="10"/>
      <c r="E642" s="38"/>
      <c r="F642" s="10"/>
      <c r="G642" s="10"/>
      <c r="H642" s="10"/>
      <c r="I642" s="3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</row>
    <row r="643" spans="1:38">
      <c r="A643" s="10"/>
      <c r="B643" s="10"/>
      <c r="C643" s="10"/>
      <c r="D643" s="10"/>
      <c r="E643" s="38"/>
      <c r="F643" s="10"/>
      <c r="G643" s="10"/>
      <c r="H643" s="10"/>
      <c r="I643" s="3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>
      <c r="A644" s="10"/>
      <c r="B644" s="10"/>
      <c r="C644" s="10"/>
      <c r="D644" s="10"/>
      <c r="E644" s="38"/>
      <c r="F644" s="10"/>
      <c r="G644" s="10"/>
      <c r="H644" s="10"/>
      <c r="I644" s="3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>
      <c r="A645" s="10"/>
      <c r="B645" s="10"/>
      <c r="C645" s="10"/>
      <c r="D645" s="10"/>
      <c r="E645" s="38"/>
      <c r="F645" s="10"/>
      <c r="G645" s="10"/>
      <c r="H645" s="10"/>
      <c r="I645" s="3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</row>
    <row r="646" spans="1:38">
      <c r="A646" s="10"/>
      <c r="B646" s="10"/>
      <c r="C646" s="10"/>
      <c r="D646" s="10"/>
      <c r="E646" s="38"/>
      <c r="F646" s="10"/>
      <c r="G646" s="10"/>
      <c r="H646" s="10"/>
      <c r="I646" s="3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</row>
    <row r="647" spans="1:38">
      <c r="A647" s="10"/>
      <c r="B647" s="10"/>
      <c r="C647" s="10"/>
      <c r="D647" s="10"/>
      <c r="E647" s="38"/>
      <c r="F647" s="10"/>
      <c r="G647" s="10"/>
      <c r="H647" s="10"/>
      <c r="I647" s="3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>
      <c r="A648" s="10"/>
      <c r="B648" s="10"/>
      <c r="C648" s="10"/>
      <c r="D648" s="10"/>
      <c r="E648" s="38"/>
      <c r="F648" s="10"/>
      <c r="G648" s="10"/>
      <c r="H648" s="10"/>
      <c r="I648" s="3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</row>
    <row r="649" spans="1:38">
      <c r="A649" s="10"/>
      <c r="B649" s="10"/>
      <c r="C649" s="10"/>
      <c r="D649" s="10"/>
      <c r="E649" s="38"/>
      <c r="F649" s="10"/>
      <c r="G649" s="10"/>
      <c r="H649" s="10"/>
      <c r="I649" s="3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>
      <c r="A650" s="10"/>
      <c r="B650" s="10"/>
      <c r="C650" s="10"/>
      <c r="D650" s="10"/>
      <c r="E650" s="38"/>
      <c r="F650" s="10"/>
      <c r="G650" s="10"/>
      <c r="H650" s="10"/>
      <c r="I650" s="3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1:38">
      <c r="A651" s="10"/>
      <c r="B651" s="10"/>
      <c r="C651" s="10"/>
      <c r="D651" s="10"/>
      <c r="E651" s="38"/>
      <c r="F651" s="10"/>
      <c r="G651" s="10"/>
      <c r="H651" s="10"/>
      <c r="I651" s="3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>
      <c r="A652" s="10"/>
      <c r="B652" s="10"/>
      <c r="C652" s="10"/>
      <c r="D652" s="10"/>
      <c r="E652" s="38"/>
      <c r="F652" s="10"/>
      <c r="G652" s="10"/>
      <c r="H652" s="10"/>
      <c r="I652" s="3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1:38">
      <c r="A653" s="10"/>
      <c r="B653" s="10"/>
      <c r="C653" s="10"/>
      <c r="D653" s="10"/>
      <c r="E653" s="38"/>
      <c r="F653" s="10"/>
      <c r="G653" s="10"/>
      <c r="H653" s="10"/>
      <c r="I653" s="3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>
      <c r="A654" s="10"/>
      <c r="B654" s="10"/>
      <c r="C654" s="10"/>
      <c r="D654" s="10"/>
      <c r="E654" s="38"/>
      <c r="F654" s="10"/>
      <c r="G654" s="10"/>
      <c r="H654" s="10"/>
      <c r="I654" s="3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</row>
    <row r="655" spans="1:38">
      <c r="A655" s="10"/>
      <c r="B655" s="10"/>
      <c r="C655" s="10"/>
      <c r="D655" s="10"/>
      <c r="E655" s="38"/>
      <c r="F655" s="10"/>
      <c r="G655" s="10"/>
      <c r="H655" s="10"/>
      <c r="I655" s="3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</row>
    <row r="656" spans="1:38">
      <c r="A656" s="10"/>
      <c r="B656" s="10"/>
      <c r="C656" s="10"/>
      <c r="D656" s="10"/>
      <c r="E656" s="38"/>
      <c r="F656" s="10"/>
      <c r="G656" s="10"/>
      <c r="H656" s="10"/>
      <c r="I656" s="3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</row>
    <row r="657" spans="1:38">
      <c r="A657" s="10"/>
      <c r="B657" s="10"/>
      <c r="C657" s="10"/>
      <c r="D657" s="10"/>
      <c r="E657" s="38"/>
      <c r="F657" s="10"/>
      <c r="G657" s="10"/>
      <c r="H657" s="10"/>
      <c r="I657" s="3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>
      <c r="A658" s="10"/>
      <c r="B658" s="10"/>
      <c r="C658" s="10"/>
      <c r="D658" s="10"/>
      <c r="E658" s="38"/>
      <c r="F658" s="10"/>
      <c r="G658" s="10"/>
      <c r="H658" s="10"/>
      <c r="I658" s="3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</row>
    <row r="659" spans="1:38">
      <c r="A659" s="10"/>
      <c r="B659" s="10"/>
      <c r="C659" s="10"/>
      <c r="D659" s="10"/>
      <c r="E659" s="38"/>
      <c r="F659" s="10"/>
      <c r="G659" s="10"/>
      <c r="H659" s="10"/>
      <c r="I659" s="3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</row>
    <row r="660" spans="1:38">
      <c r="A660" s="10"/>
      <c r="B660" s="10"/>
      <c r="C660" s="10"/>
      <c r="D660" s="10"/>
      <c r="E660" s="38"/>
      <c r="F660" s="10"/>
      <c r="G660" s="10"/>
      <c r="H660" s="10"/>
      <c r="I660" s="3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>
      <c r="A661" s="10"/>
      <c r="B661" s="10"/>
      <c r="C661" s="10"/>
      <c r="D661" s="10"/>
      <c r="E661" s="38"/>
      <c r="F661" s="10"/>
      <c r="G661" s="10"/>
      <c r="H661" s="10"/>
      <c r="I661" s="3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</row>
    <row r="662" spans="1:38">
      <c r="A662" s="10"/>
      <c r="B662" s="10"/>
      <c r="C662" s="10"/>
      <c r="D662" s="10"/>
      <c r="E662" s="38"/>
      <c r="F662" s="10"/>
      <c r="G662" s="10"/>
      <c r="H662" s="10"/>
      <c r="I662" s="3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</row>
    <row r="663" spans="1:38">
      <c r="A663" s="10"/>
      <c r="B663" s="10"/>
      <c r="C663" s="10"/>
      <c r="D663" s="10"/>
      <c r="E663" s="38"/>
      <c r="F663" s="10"/>
      <c r="G663" s="10"/>
      <c r="H663" s="10"/>
      <c r="I663" s="3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</row>
    <row r="664" spans="1:38">
      <c r="A664" s="10"/>
      <c r="B664" s="10"/>
      <c r="C664" s="10"/>
      <c r="D664" s="10"/>
      <c r="E664" s="38"/>
      <c r="F664" s="10"/>
      <c r="G664" s="10"/>
      <c r="H664" s="10"/>
      <c r="I664" s="3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</row>
    <row r="665" spans="1:38">
      <c r="A665" s="10"/>
      <c r="B665" s="10"/>
      <c r="C665" s="10"/>
      <c r="D665" s="10"/>
      <c r="E665" s="38"/>
      <c r="F665" s="10"/>
      <c r="G665" s="10"/>
      <c r="H665" s="10"/>
      <c r="I665" s="3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</row>
    <row r="666" spans="1:38">
      <c r="A666" s="10"/>
      <c r="B666" s="10"/>
      <c r="C666" s="10"/>
      <c r="D666" s="10"/>
      <c r="E666" s="38"/>
      <c r="F666" s="10"/>
      <c r="G666" s="10"/>
      <c r="H666" s="10"/>
      <c r="I666" s="3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>
      <c r="A667" s="10"/>
      <c r="B667" s="10"/>
      <c r="C667" s="10"/>
      <c r="D667" s="10"/>
      <c r="E667" s="38"/>
      <c r="F667" s="10"/>
      <c r="G667" s="10"/>
      <c r="H667" s="10"/>
      <c r="I667" s="3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>
      <c r="A668" s="10"/>
      <c r="B668" s="10"/>
      <c r="C668" s="10"/>
      <c r="D668" s="10"/>
      <c r="E668" s="38"/>
      <c r="F668" s="10"/>
      <c r="G668" s="10"/>
      <c r="H668" s="10"/>
      <c r="I668" s="3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</row>
    <row r="669" spans="1:38">
      <c r="A669" s="10"/>
      <c r="B669" s="10"/>
      <c r="C669" s="10"/>
      <c r="D669" s="10"/>
      <c r="E669" s="38"/>
      <c r="F669" s="10"/>
      <c r="G669" s="10"/>
      <c r="H669" s="10"/>
      <c r="I669" s="3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</row>
    <row r="670" spans="1:38">
      <c r="A670" s="10"/>
      <c r="B670" s="10"/>
      <c r="C670" s="10"/>
      <c r="D670" s="10"/>
      <c r="E670" s="38"/>
      <c r="F670" s="10"/>
      <c r="G670" s="10"/>
      <c r="H670" s="10"/>
      <c r="I670" s="3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</row>
    <row r="671" spans="1:38">
      <c r="A671" s="10"/>
      <c r="B671" s="10"/>
      <c r="C671" s="10"/>
      <c r="D671" s="10"/>
      <c r="E671" s="38"/>
      <c r="F671" s="10"/>
      <c r="G671" s="10"/>
      <c r="H671" s="10"/>
      <c r="I671" s="3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</row>
    <row r="672" spans="1:38">
      <c r="A672" s="10"/>
      <c r="B672" s="10"/>
      <c r="C672" s="10"/>
      <c r="D672" s="10"/>
      <c r="E672" s="38"/>
      <c r="F672" s="10"/>
      <c r="G672" s="10"/>
      <c r="H672" s="10"/>
      <c r="I672" s="3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</row>
    <row r="673" spans="1:38">
      <c r="A673" s="10"/>
      <c r="B673" s="10"/>
      <c r="C673" s="10"/>
      <c r="D673" s="10"/>
      <c r="E673" s="38"/>
      <c r="F673" s="10"/>
      <c r="G673" s="10"/>
      <c r="H673" s="10"/>
      <c r="I673" s="3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</row>
    <row r="674" spans="1:38">
      <c r="A674" s="10"/>
      <c r="B674" s="10"/>
      <c r="C674" s="10"/>
      <c r="D674" s="10"/>
      <c r="E674" s="38"/>
      <c r="F674" s="10"/>
      <c r="G674" s="10"/>
      <c r="H674" s="10"/>
      <c r="I674" s="3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</row>
    <row r="675" spans="1:38">
      <c r="A675" s="10"/>
      <c r="B675" s="10"/>
      <c r="C675" s="10"/>
      <c r="D675" s="10"/>
      <c r="E675" s="38"/>
      <c r="F675" s="10"/>
      <c r="G675" s="10"/>
      <c r="H675" s="10"/>
      <c r="I675" s="3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</row>
    <row r="676" spans="1:38">
      <c r="A676" s="10"/>
      <c r="B676" s="10"/>
      <c r="C676" s="10"/>
      <c r="D676" s="10"/>
      <c r="E676" s="38"/>
      <c r="F676" s="10"/>
      <c r="G676" s="10"/>
      <c r="H676" s="10"/>
      <c r="I676" s="3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</row>
    <row r="677" spans="1:38">
      <c r="A677" s="10"/>
      <c r="B677" s="10"/>
      <c r="C677" s="10"/>
      <c r="D677" s="10"/>
      <c r="E677" s="38"/>
      <c r="F677" s="10"/>
      <c r="G677" s="10"/>
      <c r="H677" s="10"/>
      <c r="I677" s="3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>
      <c r="A678" s="10"/>
      <c r="B678" s="10"/>
      <c r="C678" s="10"/>
      <c r="D678" s="10"/>
      <c r="E678" s="38"/>
      <c r="F678" s="10"/>
      <c r="G678" s="10"/>
      <c r="H678" s="10"/>
      <c r="I678" s="3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>
      <c r="A679" s="10"/>
      <c r="B679" s="10"/>
      <c r="C679" s="10"/>
      <c r="D679" s="10"/>
      <c r="E679" s="38"/>
      <c r="F679" s="10"/>
      <c r="G679" s="10"/>
      <c r="H679" s="10"/>
      <c r="I679" s="3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</row>
    <row r="680" spans="1:38">
      <c r="A680" s="10"/>
      <c r="B680" s="10"/>
      <c r="C680" s="10"/>
      <c r="D680" s="10"/>
      <c r="E680" s="38"/>
      <c r="F680" s="10"/>
      <c r="G680" s="10"/>
      <c r="H680" s="10"/>
      <c r="I680" s="3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</row>
    <row r="681" spans="1:38">
      <c r="A681" s="10"/>
      <c r="B681" s="10"/>
      <c r="C681" s="10"/>
      <c r="D681" s="10"/>
      <c r="E681" s="38"/>
      <c r="F681" s="10"/>
      <c r="G681" s="10"/>
      <c r="H681" s="10"/>
      <c r="I681" s="3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</row>
    <row r="682" spans="1:38">
      <c r="A682" s="10"/>
      <c r="B682" s="10"/>
      <c r="C682" s="10"/>
      <c r="D682" s="10"/>
      <c r="E682" s="38"/>
      <c r="F682" s="10"/>
      <c r="G682" s="10"/>
      <c r="H682" s="10"/>
      <c r="I682" s="3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</row>
    <row r="683" spans="1:38">
      <c r="A683" s="10"/>
      <c r="B683" s="10"/>
      <c r="C683" s="10"/>
      <c r="D683" s="10"/>
      <c r="E683" s="38"/>
      <c r="F683" s="10"/>
      <c r="G683" s="10"/>
      <c r="H683" s="10"/>
      <c r="I683" s="3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</row>
    <row r="684" spans="1:38">
      <c r="A684" s="10"/>
      <c r="B684" s="10"/>
      <c r="C684" s="10"/>
      <c r="D684" s="10"/>
      <c r="E684" s="38"/>
      <c r="F684" s="10"/>
      <c r="G684" s="10"/>
      <c r="H684" s="10"/>
      <c r="I684" s="3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</row>
    <row r="685" spans="1:38">
      <c r="A685" s="10"/>
      <c r="B685" s="10"/>
      <c r="C685" s="10"/>
      <c r="D685" s="10"/>
      <c r="E685" s="38"/>
      <c r="F685" s="10"/>
      <c r="G685" s="10"/>
      <c r="H685" s="10"/>
      <c r="I685" s="3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</row>
    <row r="686" spans="1:38">
      <c r="A686" s="10"/>
      <c r="B686" s="10"/>
      <c r="C686" s="10"/>
      <c r="D686" s="10"/>
      <c r="E686" s="38"/>
      <c r="F686" s="10"/>
      <c r="G686" s="10"/>
      <c r="H686" s="10"/>
      <c r="I686" s="3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>
      <c r="A687" s="10"/>
      <c r="B687" s="10"/>
      <c r="C687" s="10"/>
      <c r="D687" s="10"/>
      <c r="E687" s="38"/>
      <c r="F687" s="10"/>
      <c r="G687" s="10"/>
      <c r="H687" s="10"/>
      <c r="I687" s="3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>
      <c r="A688" s="10"/>
      <c r="B688" s="10"/>
      <c r="C688" s="10"/>
      <c r="D688" s="10"/>
      <c r="E688" s="38"/>
      <c r="F688" s="10"/>
      <c r="G688" s="10"/>
      <c r="H688" s="10"/>
      <c r="I688" s="3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>
      <c r="A689" s="10"/>
      <c r="B689" s="10"/>
      <c r="C689" s="10"/>
      <c r="D689" s="10"/>
      <c r="E689" s="38"/>
      <c r="F689" s="10"/>
      <c r="G689" s="10"/>
      <c r="H689" s="10"/>
      <c r="I689" s="3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>
      <c r="A690" s="10"/>
      <c r="B690" s="10"/>
      <c r="C690" s="10"/>
      <c r="D690" s="10"/>
      <c r="E690" s="38"/>
      <c r="F690" s="10"/>
      <c r="G690" s="10"/>
      <c r="H690" s="10"/>
      <c r="I690" s="3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>
      <c r="A691" s="10"/>
      <c r="B691" s="10"/>
      <c r="C691" s="10"/>
      <c r="D691" s="10"/>
      <c r="E691" s="38"/>
      <c r="F691" s="10"/>
      <c r="G691" s="10"/>
      <c r="H691" s="10"/>
      <c r="I691" s="3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</row>
    <row r="692" spans="1:38">
      <c r="A692" s="10"/>
      <c r="B692" s="10"/>
      <c r="C692" s="10"/>
      <c r="D692" s="10"/>
      <c r="E692" s="38"/>
      <c r="F692" s="10"/>
      <c r="G692" s="10"/>
      <c r="H692" s="10"/>
      <c r="I692" s="3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</row>
    <row r="693" spans="1:38">
      <c r="A693" s="10"/>
      <c r="B693" s="10"/>
      <c r="C693" s="10"/>
      <c r="D693" s="10"/>
      <c r="E693" s="38"/>
      <c r="F693" s="10"/>
      <c r="G693" s="10"/>
      <c r="H693" s="10"/>
      <c r="I693" s="3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>
      <c r="A694" s="10"/>
      <c r="B694" s="10"/>
      <c r="C694" s="10"/>
      <c r="D694" s="10"/>
      <c r="E694" s="38"/>
      <c r="F694" s="10"/>
      <c r="G694" s="10"/>
      <c r="H694" s="10"/>
      <c r="I694" s="3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</row>
    <row r="695" spans="1:38">
      <c r="A695" s="10"/>
      <c r="B695" s="10"/>
      <c r="C695" s="10"/>
      <c r="D695" s="10"/>
      <c r="E695" s="38"/>
      <c r="F695" s="10"/>
      <c r="G695" s="10"/>
      <c r="H695" s="10"/>
      <c r="I695" s="3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</row>
    <row r="696" spans="1:38">
      <c r="A696" s="10"/>
      <c r="B696" s="10"/>
      <c r="C696" s="10"/>
      <c r="D696" s="10"/>
      <c r="E696" s="38"/>
      <c r="F696" s="10"/>
      <c r="G696" s="10"/>
      <c r="H696" s="10"/>
      <c r="I696" s="3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>
      <c r="A697" s="10"/>
      <c r="B697" s="10"/>
      <c r="C697" s="10"/>
      <c r="D697" s="10"/>
      <c r="E697" s="38"/>
      <c r="F697" s="10"/>
      <c r="G697" s="10"/>
      <c r="H697" s="10"/>
      <c r="I697" s="3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>
      <c r="A698" s="10"/>
      <c r="B698" s="10"/>
      <c r="C698" s="10"/>
      <c r="D698" s="10"/>
      <c r="E698" s="38"/>
      <c r="F698" s="10"/>
      <c r="G698" s="10"/>
      <c r="H698" s="10"/>
      <c r="I698" s="3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>
      <c r="A699" s="10"/>
      <c r="B699" s="10"/>
      <c r="C699" s="10"/>
      <c r="D699" s="10"/>
      <c r="E699" s="38"/>
      <c r="F699" s="10"/>
      <c r="G699" s="10"/>
      <c r="H699" s="10"/>
      <c r="I699" s="3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>
      <c r="A700" s="10"/>
      <c r="B700" s="10"/>
      <c r="C700" s="10"/>
      <c r="D700" s="10"/>
      <c r="E700" s="38"/>
      <c r="F700" s="10"/>
      <c r="G700" s="10"/>
      <c r="H700" s="10"/>
      <c r="I700" s="3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>
      <c r="A701" s="10"/>
      <c r="B701" s="10"/>
      <c r="C701" s="10"/>
      <c r="D701" s="10"/>
      <c r="E701" s="38"/>
      <c r="F701" s="10"/>
      <c r="G701" s="10"/>
      <c r="H701" s="10"/>
      <c r="I701" s="3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>
      <c r="A702" s="10"/>
      <c r="B702" s="10"/>
      <c r="C702" s="10"/>
      <c r="D702" s="10"/>
      <c r="E702" s="38"/>
      <c r="F702" s="10"/>
      <c r="G702" s="10"/>
      <c r="H702" s="10"/>
      <c r="I702" s="3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</row>
    <row r="703" spans="1:38">
      <c r="A703" s="10"/>
      <c r="B703" s="10"/>
      <c r="C703" s="10"/>
      <c r="D703" s="10"/>
      <c r="E703" s="38"/>
      <c r="F703" s="10"/>
      <c r="G703" s="10"/>
      <c r="H703" s="10"/>
      <c r="I703" s="3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</row>
    <row r="704" spans="1:38">
      <c r="A704" s="10"/>
      <c r="B704" s="10"/>
      <c r="C704" s="10"/>
      <c r="D704" s="10"/>
      <c r="E704" s="38"/>
      <c r="F704" s="10"/>
      <c r="G704" s="10"/>
      <c r="H704" s="10"/>
      <c r="I704" s="3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</row>
    <row r="705" spans="1:38">
      <c r="A705" s="10"/>
      <c r="B705" s="10"/>
      <c r="C705" s="10"/>
      <c r="D705" s="10"/>
      <c r="E705" s="38"/>
      <c r="F705" s="10"/>
      <c r="G705" s="10"/>
      <c r="H705" s="10"/>
      <c r="I705" s="3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</row>
    <row r="706" spans="1:38">
      <c r="A706" s="10"/>
      <c r="B706" s="10"/>
      <c r="C706" s="10"/>
      <c r="D706" s="10"/>
      <c r="E706" s="38"/>
      <c r="F706" s="10"/>
      <c r="G706" s="10"/>
      <c r="H706" s="10"/>
      <c r="I706" s="3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</row>
    <row r="707" spans="1:38">
      <c r="A707" s="10"/>
      <c r="B707" s="10"/>
      <c r="C707" s="10"/>
      <c r="D707" s="10"/>
      <c r="E707" s="38"/>
      <c r="F707" s="10"/>
      <c r="G707" s="10"/>
      <c r="H707" s="10"/>
      <c r="I707" s="3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</row>
    <row r="708" spans="1:38">
      <c r="A708" s="10"/>
      <c r="B708" s="10"/>
      <c r="C708" s="10"/>
      <c r="D708" s="10"/>
      <c r="E708" s="38"/>
      <c r="F708" s="10"/>
      <c r="G708" s="10"/>
      <c r="H708" s="10"/>
      <c r="I708" s="3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>
      <c r="A709" s="10"/>
      <c r="B709" s="10"/>
      <c r="C709" s="10"/>
      <c r="D709" s="10"/>
      <c r="E709" s="38"/>
      <c r="F709" s="10"/>
      <c r="G709" s="10"/>
      <c r="H709" s="10"/>
      <c r="I709" s="3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</row>
    <row r="710" spans="1:38">
      <c r="A710" s="10"/>
      <c r="B710" s="10"/>
      <c r="C710" s="10"/>
      <c r="D710" s="10"/>
      <c r="E710" s="38"/>
      <c r="F710" s="10"/>
      <c r="G710" s="10"/>
      <c r="H710" s="10"/>
      <c r="I710" s="3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</row>
    <row r="711" spans="1:38">
      <c r="A711" s="10"/>
      <c r="B711" s="10"/>
      <c r="C711" s="10"/>
      <c r="D711" s="10"/>
      <c r="E711" s="38"/>
      <c r="F711" s="10"/>
      <c r="G711" s="10"/>
      <c r="H711" s="10"/>
      <c r="I711" s="3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</row>
    <row r="712" spans="1:38">
      <c r="A712" s="10"/>
      <c r="B712" s="10"/>
      <c r="C712" s="10"/>
      <c r="D712" s="10"/>
      <c r="E712" s="38"/>
      <c r="F712" s="10"/>
      <c r="G712" s="10"/>
      <c r="H712" s="10"/>
      <c r="I712" s="3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</row>
    <row r="713" spans="1:38">
      <c r="A713" s="10"/>
      <c r="B713" s="10"/>
      <c r="C713" s="10"/>
      <c r="D713" s="10"/>
      <c r="E713" s="38"/>
      <c r="F713" s="10"/>
      <c r="G713" s="10"/>
      <c r="H713" s="10"/>
      <c r="I713" s="3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</row>
    <row r="714" spans="1:38">
      <c r="A714" s="10"/>
      <c r="B714" s="10"/>
      <c r="C714" s="10"/>
      <c r="D714" s="10"/>
      <c r="E714" s="38"/>
      <c r="F714" s="10"/>
      <c r="G714" s="10"/>
      <c r="H714" s="10"/>
      <c r="I714" s="3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>
      <c r="A715" s="10"/>
      <c r="B715" s="10"/>
      <c r="C715" s="10"/>
      <c r="D715" s="10"/>
      <c r="E715" s="38"/>
      <c r="F715" s="10"/>
      <c r="G715" s="10"/>
      <c r="H715" s="10"/>
      <c r="I715" s="3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>
      <c r="A716" s="10"/>
      <c r="B716" s="10"/>
      <c r="C716" s="10"/>
      <c r="D716" s="10"/>
      <c r="E716" s="38"/>
      <c r="F716" s="10"/>
      <c r="G716" s="10"/>
      <c r="H716" s="10"/>
      <c r="I716" s="3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</row>
    <row r="717" spans="1:38">
      <c r="A717" s="10"/>
      <c r="B717" s="10"/>
      <c r="C717" s="10"/>
      <c r="D717" s="10"/>
      <c r="E717" s="38"/>
      <c r="F717" s="10"/>
      <c r="G717" s="10"/>
      <c r="H717" s="10"/>
      <c r="I717" s="3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>
      <c r="A718" s="10"/>
      <c r="B718" s="10"/>
      <c r="C718" s="10"/>
      <c r="D718" s="10"/>
      <c r="E718" s="38"/>
      <c r="F718" s="10"/>
      <c r="G718" s="10"/>
      <c r="H718" s="10"/>
      <c r="I718" s="3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</row>
    <row r="719" spans="1:38">
      <c r="A719" s="10"/>
      <c r="B719" s="10"/>
      <c r="C719" s="10"/>
      <c r="D719" s="10"/>
      <c r="E719" s="38"/>
      <c r="F719" s="10"/>
      <c r="G719" s="10"/>
      <c r="H719" s="10"/>
      <c r="I719" s="3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</row>
    <row r="720" spans="1:38">
      <c r="A720" s="10"/>
      <c r="B720" s="10"/>
      <c r="C720" s="10"/>
      <c r="D720" s="10"/>
      <c r="E720" s="38"/>
      <c r="F720" s="10"/>
      <c r="G720" s="10"/>
      <c r="H720" s="10"/>
      <c r="I720" s="3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>
      <c r="A721" s="10"/>
      <c r="B721" s="10"/>
      <c r="C721" s="10"/>
      <c r="D721" s="10"/>
      <c r="E721" s="38"/>
      <c r="F721" s="10"/>
      <c r="G721" s="10"/>
      <c r="H721" s="10"/>
      <c r="I721" s="3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>
      <c r="A722" s="10"/>
      <c r="B722" s="10"/>
      <c r="C722" s="10"/>
      <c r="D722" s="10"/>
      <c r="E722" s="38"/>
      <c r="F722" s="10"/>
      <c r="G722" s="10"/>
      <c r="H722" s="10"/>
      <c r="I722" s="3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</row>
    <row r="723" spans="1:38">
      <c r="A723" s="10"/>
      <c r="B723" s="10"/>
      <c r="C723" s="10"/>
      <c r="D723" s="10"/>
      <c r="E723" s="38"/>
      <c r="F723" s="10"/>
      <c r="G723" s="10"/>
      <c r="H723" s="10"/>
      <c r="I723" s="3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>
      <c r="A724" s="10"/>
      <c r="B724" s="10"/>
      <c r="C724" s="10"/>
      <c r="D724" s="10"/>
      <c r="E724" s="38"/>
      <c r="F724" s="10"/>
      <c r="G724" s="10"/>
      <c r="H724" s="10"/>
      <c r="I724" s="3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</row>
    <row r="725" spans="1:38">
      <c r="A725" s="10"/>
      <c r="B725" s="10"/>
      <c r="C725" s="10"/>
      <c r="D725" s="10"/>
      <c r="E725" s="38"/>
      <c r="F725" s="10"/>
      <c r="G725" s="10"/>
      <c r="H725" s="10"/>
      <c r="I725" s="3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</row>
    <row r="726" spans="1:38">
      <c r="A726" s="10"/>
      <c r="B726" s="10"/>
      <c r="C726" s="10"/>
      <c r="D726" s="10"/>
      <c r="E726" s="38"/>
      <c r="F726" s="10"/>
      <c r="G726" s="10"/>
      <c r="H726" s="10"/>
      <c r="I726" s="3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</row>
    <row r="727" spans="1:38">
      <c r="A727" s="10"/>
      <c r="B727" s="10"/>
      <c r="C727" s="10"/>
      <c r="D727" s="10"/>
      <c r="E727" s="38"/>
      <c r="F727" s="10"/>
      <c r="G727" s="10"/>
      <c r="H727" s="10"/>
      <c r="I727" s="3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</row>
    <row r="728" spans="1:38">
      <c r="A728" s="10"/>
      <c r="B728" s="10"/>
      <c r="C728" s="10"/>
      <c r="D728" s="10"/>
      <c r="E728" s="38"/>
      <c r="F728" s="10"/>
      <c r="G728" s="10"/>
      <c r="H728" s="10"/>
      <c r="I728" s="3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</row>
    <row r="729" spans="1:38">
      <c r="A729" s="10"/>
      <c r="B729" s="10"/>
      <c r="C729" s="10"/>
      <c r="D729" s="10"/>
      <c r="E729" s="38"/>
      <c r="F729" s="10"/>
      <c r="G729" s="10"/>
      <c r="H729" s="10"/>
      <c r="I729" s="3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>
      <c r="A730" s="10"/>
      <c r="B730" s="10"/>
      <c r="C730" s="10"/>
      <c r="D730" s="10"/>
      <c r="E730" s="38"/>
      <c r="F730" s="10"/>
      <c r="G730" s="10"/>
      <c r="H730" s="10"/>
      <c r="I730" s="3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>
      <c r="A731" s="10"/>
      <c r="B731" s="10"/>
      <c r="C731" s="10"/>
      <c r="D731" s="10"/>
      <c r="E731" s="38"/>
      <c r="F731" s="10"/>
      <c r="G731" s="10"/>
      <c r="H731" s="10"/>
      <c r="I731" s="3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</row>
    <row r="732" spans="1:38">
      <c r="A732" s="10"/>
      <c r="B732" s="10"/>
      <c r="C732" s="10"/>
      <c r="D732" s="10"/>
      <c r="E732" s="38"/>
      <c r="F732" s="10"/>
      <c r="G732" s="10"/>
      <c r="H732" s="10"/>
      <c r="I732" s="3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</row>
    <row r="733" spans="1:38">
      <c r="A733" s="10"/>
      <c r="B733" s="10"/>
      <c r="C733" s="10"/>
      <c r="D733" s="10"/>
      <c r="E733" s="38"/>
      <c r="F733" s="10"/>
      <c r="G733" s="10"/>
      <c r="H733" s="10"/>
      <c r="I733" s="3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</row>
    <row r="734" spans="1:38">
      <c r="A734" s="10"/>
      <c r="B734" s="10"/>
      <c r="C734" s="10"/>
      <c r="D734" s="10"/>
      <c r="E734" s="38"/>
      <c r="F734" s="10"/>
      <c r="G734" s="10"/>
      <c r="H734" s="10"/>
      <c r="I734" s="3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</row>
    <row r="735" spans="1:38">
      <c r="A735" s="10"/>
      <c r="B735" s="10"/>
      <c r="C735" s="10"/>
      <c r="D735" s="10"/>
      <c r="E735" s="38"/>
      <c r="F735" s="10"/>
      <c r="G735" s="10"/>
      <c r="H735" s="10"/>
      <c r="I735" s="3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</row>
    <row r="736" spans="1:38">
      <c r="A736" s="10"/>
      <c r="B736" s="10"/>
      <c r="C736" s="10"/>
      <c r="D736" s="10"/>
      <c r="E736" s="38"/>
      <c r="F736" s="10"/>
      <c r="G736" s="10"/>
      <c r="H736" s="10"/>
      <c r="I736" s="3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>
      <c r="A737" s="10"/>
      <c r="B737" s="10"/>
      <c r="C737" s="10"/>
      <c r="D737" s="10"/>
      <c r="E737" s="38"/>
      <c r="F737" s="10"/>
      <c r="G737" s="10"/>
      <c r="H737" s="10"/>
      <c r="I737" s="3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</row>
    <row r="738" spans="1:38">
      <c r="A738" s="10"/>
      <c r="B738" s="10"/>
      <c r="C738" s="10"/>
      <c r="D738" s="10"/>
      <c r="E738" s="38"/>
      <c r="F738" s="10"/>
      <c r="G738" s="10"/>
      <c r="H738" s="10"/>
      <c r="I738" s="3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</row>
    <row r="739" spans="1:38">
      <c r="A739" s="10"/>
      <c r="B739" s="10"/>
      <c r="C739" s="10"/>
      <c r="D739" s="10"/>
      <c r="E739" s="38"/>
      <c r="F739" s="10"/>
      <c r="G739" s="10"/>
      <c r="H739" s="10"/>
      <c r="I739" s="3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</row>
    <row r="740" spans="1:38">
      <c r="A740" s="10"/>
      <c r="B740" s="10"/>
      <c r="C740" s="10"/>
      <c r="D740" s="10"/>
      <c r="E740" s="38"/>
      <c r="F740" s="10"/>
      <c r="G740" s="10"/>
      <c r="H740" s="10"/>
      <c r="I740" s="3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</row>
    <row r="741" spans="1:38">
      <c r="A741" s="10"/>
      <c r="B741" s="10"/>
      <c r="C741" s="10"/>
      <c r="D741" s="10"/>
      <c r="E741" s="38"/>
      <c r="F741" s="10"/>
      <c r="G741" s="10"/>
      <c r="H741" s="10"/>
      <c r="I741" s="3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</row>
    <row r="742" spans="1:38">
      <c r="A742" s="10"/>
      <c r="B742" s="10"/>
      <c r="C742" s="10"/>
      <c r="D742" s="10"/>
      <c r="E742" s="38"/>
      <c r="F742" s="10"/>
      <c r="G742" s="10"/>
      <c r="H742" s="10"/>
      <c r="I742" s="3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</row>
    <row r="743" spans="1:38">
      <c r="A743" s="10"/>
      <c r="B743" s="10"/>
      <c r="C743" s="10"/>
      <c r="D743" s="10"/>
      <c r="E743" s="38"/>
      <c r="F743" s="10"/>
      <c r="G743" s="10"/>
      <c r="H743" s="10"/>
      <c r="I743" s="3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</row>
    <row r="744" spans="1:38">
      <c r="A744" s="10"/>
      <c r="B744" s="10"/>
      <c r="C744" s="10"/>
      <c r="D744" s="10"/>
      <c r="E744" s="38"/>
      <c r="F744" s="10"/>
      <c r="G744" s="10"/>
      <c r="H744" s="10"/>
      <c r="I744" s="3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>
      <c r="A745" s="10"/>
      <c r="B745" s="10"/>
      <c r="C745" s="10"/>
      <c r="D745" s="10"/>
      <c r="E745" s="38"/>
      <c r="F745" s="10"/>
      <c r="G745" s="10"/>
      <c r="H745" s="10"/>
      <c r="I745" s="3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</row>
    <row r="746" spans="1:38">
      <c r="A746" s="10"/>
      <c r="B746" s="10"/>
      <c r="C746" s="10"/>
      <c r="D746" s="10"/>
      <c r="E746" s="38"/>
      <c r="F746" s="10"/>
      <c r="G746" s="10"/>
      <c r="H746" s="10"/>
      <c r="I746" s="3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</row>
    <row r="747" spans="1:38">
      <c r="A747" s="10"/>
      <c r="B747" s="10"/>
      <c r="C747" s="10"/>
      <c r="D747" s="10"/>
      <c r="E747" s="38"/>
      <c r="F747" s="10"/>
      <c r="G747" s="10"/>
      <c r="H747" s="10"/>
      <c r="I747" s="3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</row>
    <row r="748" spans="1:38">
      <c r="A748" s="10"/>
      <c r="B748" s="10"/>
      <c r="C748" s="10"/>
      <c r="D748" s="10"/>
      <c r="E748" s="38"/>
      <c r="F748" s="10"/>
      <c r="G748" s="10"/>
      <c r="H748" s="10"/>
      <c r="I748" s="3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</row>
    <row r="749" spans="1:38">
      <c r="A749" s="10"/>
      <c r="B749" s="10"/>
      <c r="C749" s="10"/>
      <c r="D749" s="10"/>
      <c r="E749" s="38"/>
      <c r="F749" s="10"/>
      <c r="G749" s="10"/>
      <c r="H749" s="10"/>
      <c r="I749" s="3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>
      <c r="A750" s="10"/>
      <c r="B750" s="10"/>
      <c r="C750" s="10"/>
      <c r="D750" s="10"/>
      <c r="E750" s="38"/>
      <c r="F750" s="10"/>
      <c r="G750" s="10"/>
      <c r="H750" s="10"/>
      <c r="I750" s="3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</row>
    <row r="751" spans="1:38">
      <c r="A751" s="10"/>
      <c r="B751" s="10"/>
      <c r="C751" s="10"/>
      <c r="D751" s="10"/>
      <c r="E751" s="38"/>
      <c r="F751" s="10"/>
      <c r="G751" s="10"/>
      <c r="H751" s="10"/>
      <c r="I751" s="3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</row>
    <row r="752" spans="1:38">
      <c r="A752" s="10"/>
      <c r="B752" s="10"/>
      <c r="C752" s="10"/>
      <c r="D752" s="10"/>
      <c r="E752" s="38"/>
      <c r="F752" s="10"/>
      <c r="G752" s="10"/>
      <c r="H752" s="10"/>
      <c r="I752" s="3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>
      <c r="A753" s="10"/>
      <c r="B753" s="10"/>
      <c r="C753" s="10"/>
      <c r="D753" s="10"/>
      <c r="E753" s="38"/>
      <c r="F753" s="10"/>
      <c r="G753" s="10"/>
      <c r="H753" s="10"/>
      <c r="I753" s="3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</row>
    <row r="754" spans="1:38">
      <c r="A754" s="10"/>
      <c r="B754" s="10"/>
      <c r="C754" s="10"/>
      <c r="D754" s="10"/>
      <c r="E754" s="38"/>
      <c r="F754" s="10"/>
      <c r="G754" s="10"/>
      <c r="H754" s="10"/>
      <c r="I754" s="3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</row>
    <row r="755" spans="1:38">
      <c r="A755" s="10"/>
      <c r="B755" s="10"/>
      <c r="C755" s="10"/>
      <c r="D755" s="10"/>
      <c r="E755" s="38"/>
      <c r="F755" s="10"/>
      <c r="G755" s="10"/>
      <c r="H755" s="10"/>
      <c r="I755" s="3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</row>
    <row r="756" spans="1:38">
      <c r="A756" s="10"/>
      <c r="B756" s="10"/>
      <c r="C756" s="10"/>
      <c r="D756" s="10"/>
      <c r="E756" s="38"/>
      <c r="F756" s="10"/>
      <c r="G756" s="10"/>
      <c r="H756" s="10"/>
      <c r="I756" s="3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</row>
    <row r="757" spans="1:38">
      <c r="A757" s="10"/>
      <c r="B757" s="10"/>
      <c r="C757" s="10"/>
      <c r="D757" s="10"/>
      <c r="E757" s="38"/>
      <c r="F757" s="10"/>
      <c r="G757" s="10"/>
      <c r="H757" s="10"/>
      <c r="I757" s="3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</row>
    <row r="758" spans="1:38">
      <c r="A758" s="10"/>
      <c r="B758" s="10"/>
      <c r="C758" s="10"/>
      <c r="D758" s="10"/>
      <c r="E758" s="38"/>
      <c r="F758" s="10"/>
      <c r="G758" s="10"/>
      <c r="H758" s="10"/>
      <c r="I758" s="3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</row>
    <row r="759" spans="1:38">
      <c r="A759" s="10"/>
      <c r="B759" s="10"/>
      <c r="C759" s="10"/>
      <c r="D759" s="10"/>
      <c r="E759" s="38"/>
      <c r="F759" s="10"/>
      <c r="G759" s="10"/>
      <c r="H759" s="10"/>
      <c r="I759" s="3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>
      <c r="A760" s="10"/>
      <c r="B760" s="10"/>
      <c r="C760" s="10"/>
      <c r="D760" s="10"/>
      <c r="E760" s="38"/>
      <c r="F760" s="10"/>
      <c r="G760" s="10"/>
      <c r="H760" s="10"/>
      <c r="I760" s="3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</row>
    <row r="761" spans="1:38">
      <c r="A761" s="10"/>
      <c r="B761" s="10"/>
      <c r="C761" s="10"/>
      <c r="D761" s="10"/>
      <c r="E761" s="38"/>
      <c r="F761" s="10"/>
      <c r="G761" s="10"/>
      <c r="H761" s="10"/>
      <c r="I761" s="3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</row>
    <row r="762" spans="1:38">
      <c r="A762" s="10"/>
      <c r="B762" s="10"/>
      <c r="C762" s="10"/>
      <c r="D762" s="10"/>
      <c r="E762" s="38"/>
      <c r="F762" s="10"/>
      <c r="G762" s="10"/>
      <c r="H762" s="10"/>
      <c r="I762" s="3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>
      <c r="A763" s="10"/>
      <c r="B763" s="10"/>
      <c r="C763" s="10"/>
      <c r="D763" s="10"/>
      <c r="E763" s="38"/>
      <c r="F763" s="10"/>
      <c r="G763" s="10"/>
      <c r="H763" s="10"/>
      <c r="I763" s="3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>
      <c r="A764" s="10"/>
      <c r="B764" s="10"/>
      <c r="C764" s="10"/>
      <c r="D764" s="10"/>
      <c r="E764" s="38"/>
      <c r="F764" s="10"/>
      <c r="G764" s="10"/>
      <c r="H764" s="10"/>
      <c r="I764" s="3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</row>
    <row r="765" spans="1:38">
      <c r="A765" s="10"/>
      <c r="B765" s="10"/>
      <c r="C765" s="10"/>
      <c r="D765" s="10"/>
      <c r="E765" s="38"/>
      <c r="F765" s="10"/>
      <c r="G765" s="10"/>
      <c r="H765" s="10"/>
      <c r="I765" s="3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</row>
    <row r="766" spans="1:38">
      <c r="A766" s="10"/>
      <c r="B766" s="10"/>
      <c r="C766" s="10"/>
      <c r="D766" s="10"/>
      <c r="E766" s="38"/>
      <c r="F766" s="10"/>
      <c r="G766" s="10"/>
      <c r="H766" s="10"/>
      <c r="I766" s="3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</row>
    <row r="767" spans="1:38">
      <c r="A767" s="10"/>
      <c r="B767" s="10"/>
      <c r="C767" s="10"/>
      <c r="D767" s="10"/>
      <c r="E767" s="38"/>
      <c r="F767" s="10"/>
      <c r="G767" s="10"/>
      <c r="H767" s="10"/>
      <c r="I767" s="3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</row>
    <row r="768" spans="1:38">
      <c r="A768" s="10"/>
      <c r="B768" s="10"/>
      <c r="C768" s="10"/>
      <c r="D768" s="10"/>
      <c r="E768" s="38"/>
      <c r="F768" s="10"/>
      <c r="G768" s="10"/>
      <c r="H768" s="10"/>
      <c r="I768" s="3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</row>
    <row r="769" spans="1:38">
      <c r="A769" s="10"/>
      <c r="B769" s="10"/>
      <c r="C769" s="10"/>
      <c r="D769" s="10"/>
      <c r="E769" s="38"/>
      <c r="F769" s="10"/>
      <c r="G769" s="10"/>
      <c r="H769" s="10"/>
      <c r="I769" s="3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</row>
    <row r="770" spans="1:38">
      <c r="A770" s="10"/>
      <c r="B770" s="10"/>
      <c r="C770" s="10"/>
      <c r="D770" s="10"/>
      <c r="E770" s="38"/>
      <c r="F770" s="10"/>
      <c r="G770" s="10"/>
      <c r="H770" s="10"/>
      <c r="I770" s="3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</row>
    <row r="771" spans="1:38">
      <c r="A771" s="10"/>
      <c r="B771" s="10"/>
      <c r="C771" s="10"/>
      <c r="D771" s="10"/>
      <c r="E771" s="38"/>
      <c r="F771" s="10"/>
      <c r="G771" s="10"/>
      <c r="H771" s="10"/>
      <c r="I771" s="3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</row>
    <row r="772" spans="1:38">
      <c r="A772" s="10"/>
      <c r="B772" s="10"/>
      <c r="C772" s="10"/>
      <c r="D772" s="10"/>
      <c r="E772" s="38"/>
      <c r="F772" s="10"/>
      <c r="G772" s="10"/>
      <c r="H772" s="10"/>
      <c r="I772" s="3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>
      <c r="A773" s="10"/>
      <c r="B773" s="10"/>
      <c r="C773" s="10"/>
      <c r="D773" s="10"/>
      <c r="E773" s="38"/>
      <c r="F773" s="10"/>
      <c r="G773" s="10"/>
      <c r="H773" s="10"/>
      <c r="I773" s="3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>
      <c r="A774" s="10"/>
      <c r="B774" s="10"/>
      <c r="C774" s="10"/>
      <c r="D774" s="10"/>
      <c r="E774" s="38"/>
      <c r="F774" s="10"/>
      <c r="G774" s="10"/>
      <c r="H774" s="10"/>
      <c r="I774" s="3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>
      <c r="A775" s="10"/>
      <c r="B775" s="10"/>
      <c r="C775" s="10"/>
      <c r="D775" s="10"/>
      <c r="E775" s="38"/>
      <c r="F775" s="10"/>
      <c r="G775" s="10"/>
      <c r="H775" s="10"/>
      <c r="I775" s="3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>
      <c r="A776" s="10"/>
      <c r="B776" s="10"/>
      <c r="C776" s="10"/>
      <c r="D776" s="10"/>
      <c r="E776" s="38"/>
      <c r="F776" s="10"/>
      <c r="G776" s="10"/>
      <c r="H776" s="10"/>
      <c r="I776" s="3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>
      <c r="A777" s="10"/>
      <c r="B777" s="10"/>
      <c r="C777" s="10"/>
      <c r="D777" s="10"/>
      <c r="E777" s="38"/>
      <c r="F777" s="10"/>
      <c r="G777" s="10"/>
      <c r="H777" s="10"/>
      <c r="I777" s="3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</row>
    <row r="778" spans="1:38">
      <c r="A778" s="10"/>
      <c r="B778" s="10"/>
      <c r="C778" s="10"/>
      <c r="D778" s="10"/>
      <c r="E778" s="38"/>
      <c r="F778" s="10"/>
      <c r="G778" s="10"/>
      <c r="H778" s="10"/>
      <c r="I778" s="3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>
      <c r="A779" s="10"/>
      <c r="B779" s="10"/>
      <c r="C779" s="10"/>
      <c r="D779" s="10"/>
      <c r="E779" s="38"/>
      <c r="F779" s="10"/>
      <c r="G779" s="10"/>
      <c r="H779" s="10"/>
      <c r="I779" s="3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>
      <c r="A780" s="10"/>
      <c r="B780" s="10"/>
      <c r="C780" s="10"/>
      <c r="D780" s="10"/>
      <c r="E780" s="38"/>
      <c r="F780" s="10"/>
      <c r="G780" s="10"/>
      <c r="H780" s="10"/>
      <c r="I780" s="3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</row>
    <row r="781" spans="1:38">
      <c r="A781" s="10"/>
      <c r="B781" s="10"/>
      <c r="C781" s="10"/>
      <c r="D781" s="10"/>
      <c r="E781" s="38"/>
      <c r="F781" s="10"/>
      <c r="G781" s="10"/>
      <c r="H781" s="10"/>
      <c r="I781" s="3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</row>
    <row r="782" spans="1:38">
      <c r="A782" s="10"/>
      <c r="B782" s="10"/>
      <c r="C782" s="10"/>
      <c r="D782" s="10"/>
      <c r="E782" s="38"/>
      <c r="F782" s="10"/>
      <c r="G782" s="10"/>
      <c r="H782" s="10"/>
      <c r="I782" s="3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>
      <c r="A783" s="10"/>
      <c r="B783" s="10"/>
      <c r="C783" s="10"/>
      <c r="D783" s="10"/>
      <c r="E783" s="38"/>
      <c r="F783" s="10"/>
      <c r="G783" s="10"/>
      <c r="H783" s="10"/>
      <c r="I783" s="3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</row>
    <row r="784" spans="1:38">
      <c r="A784" s="10"/>
      <c r="B784" s="10"/>
      <c r="C784" s="10"/>
      <c r="D784" s="10"/>
      <c r="E784" s="38"/>
      <c r="F784" s="10"/>
      <c r="G784" s="10"/>
      <c r="H784" s="10"/>
      <c r="I784" s="3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</row>
    <row r="785" spans="1:38">
      <c r="A785" s="10"/>
      <c r="B785" s="10"/>
      <c r="C785" s="10"/>
      <c r="D785" s="10"/>
      <c r="E785" s="38"/>
      <c r="F785" s="10"/>
      <c r="G785" s="10"/>
      <c r="H785" s="10"/>
      <c r="I785" s="3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</row>
    <row r="786" spans="1:38">
      <c r="A786" s="10"/>
      <c r="B786" s="10"/>
      <c r="C786" s="10"/>
      <c r="D786" s="10"/>
      <c r="E786" s="38"/>
      <c r="F786" s="10"/>
      <c r="G786" s="10"/>
      <c r="H786" s="10"/>
      <c r="I786" s="3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</row>
    <row r="787" spans="1:38">
      <c r="A787" s="10"/>
      <c r="B787" s="10"/>
      <c r="C787" s="10"/>
      <c r="D787" s="10"/>
      <c r="E787" s="38"/>
      <c r="F787" s="10"/>
      <c r="G787" s="10"/>
      <c r="H787" s="10"/>
      <c r="I787" s="3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>
      <c r="A788" s="10"/>
      <c r="B788" s="10"/>
      <c r="C788" s="10"/>
      <c r="D788" s="10"/>
      <c r="E788" s="38"/>
      <c r="F788" s="10"/>
      <c r="G788" s="10"/>
      <c r="H788" s="10"/>
      <c r="I788" s="3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</row>
    <row r="789" spans="1:38">
      <c r="A789" s="10"/>
      <c r="B789" s="10"/>
      <c r="C789" s="10"/>
      <c r="D789" s="10"/>
      <c r="E789" s="38"/>
      <c r="F789" s="10"/>
      <c r="G789" s="10"/>
      <c r="H789" s="10"/>
      <c r="I789" s="3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</row>
    <row r="790" spans="1:38">
      <c r="A790" s="10"/>
      <c r="B790" s="10"/>
      <c r="C790" s="10"/>
      <c r="D790" s="10"/>
      <c r="E790" s="38"/>
      <c r="F790" s="10"/>
      <c r="G790" s="10"/>
      <c r="H790" s="10"/>
      <c r="I790" s="3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>
      <c r="A791" s="10"/>
      <c r="B791" s="10"/>
      <c r="C791" s="10"/>
      <c r="D791" s="10"/>
      <c r="E791" s="38"/>
      <c r="F791" s="10"/>
      <c r="G791" s="10"/>
      <c r="H791" s="10"/>
      <c r="I791" s="3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</row>
    <row r="792" spans="1:38">
      <c r="A792" s="10"/>
      <c r="B792" s="10"/>
      <c r="C792" s="10"/>
      <c r="D792" s="10"/>
      <c r="E792" s="38"/>
      <c r="F792" s="10"/>
      <c r="G792" s="10"/>
      <c r="H792" s="10"/>
      <c r="I792" s="3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</row>
    <row r="793" spans="1:38">
      <c r="A793" s="10"/>
      <c r="B793" s="10"/>
      <c r="C793" s="10"/>
      <c r="D793" s="10"/>
      <c r="E793" s="38"/>
      <c r="F793" s="10"/>
      <c r="G793" s="10"/>
      <c r="H793" s="10"/>
      <c r="I793" s="3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</row>
    <row r="794" spans="1:38">
      <c r="A794" s="10"/>
      <c r="B794" s="10"/>
      <c r="C794" s="10"/>
      <c r="D794" s="10"/>
      <c r="E794" s="38"/>
      <c r="F794" s="10"/>
      <c r="G794" s="10"/>
      <c r="H794" s="10"/>
      <c r="I794" s="3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>
      <c r="A795" s="10"/>
      <c r="B795" s="10"/>
      <c r="C795" s="10"/>
      <c r="D795" s="10"/>
      <c r="E795" s="38"/>
      <c r="F795" s="10"/>
      <c r="G795" s="10"/>
      <c r="H795" s="10"/>
      <c r="I795" s="3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>
      <c r="A796" s="10"/>
      <c r="B796" s="10"/>
      <c r="C796" s="10"/>
      <c r="D796" s="10"/>
      <c r="E796" s="38"/>
      <c r="F796" s="10"/>
      <c r="G796" s="10"/>
      <c r="H796" s="10"/>
      <c r="I796" s="3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>
      <c r="A797" s="10"/>
      <c r="B797" s="10"/>
      <c r="C797" s="10"/>
      <c r="D797" s="10"/>
      <c r="E797" s="38"/>
      <c r="F797" s="10"/>
      <c r="G797" s="10"/>
      <c r="H797" s="10"/>
      <c r="I797" s="3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</row>
    <row r="798" spans="1:38">
      <c r="A798" s="10"/>
      <c r="B798" s="10"/>
      <c r="C798" s="10"/>
      <c r="D798" s="10"/>
      <c r="E798" s="38"/>
      <c r="F798" s="10"/>
      <c r="G798" s="10"/>
      <c r="H798" s="10"/>
      <c r="I798" s="3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</row>
    <row r="799" spans="1:38">
      <c r="A799" s="10"/>
      <c r="B799" s="10"/>
      <c r="C799" s="10"/>
      <c r="D799" s="10"/>
      <c r="E799" s="38"/>
      <c r="F799" s="10"/>
      <c r="G799" s="10"/>
      <c r="H799" s="10"/>
      <c r="I799" s="3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</row>
    <row r="800" spans="1:38">
      <c r="A800" s="10"/>
      <c r="B800" s="10"/>
      <c r="C800" s="10"/>
      <c r="D800" s="10"/>
      <c r="E800" s="38"/>
      <c r="F800" s="10"/>
      <c r="G800" s="10"/>
      <c r="H800" s="10"/>
      <c r="I800" s="3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>
      <c r="A801" s="10"/>
      <c r="B801" s="10"/>
      <c r="C801" s="10"/>
      <c r="D801" s="10"/>
      <c r="E801" s="38"/>
      <c r="F801" s="10"/>
      <c r="G801" s="10"/>
      <c r="H801" s="10"/>
      <c r="I801" s="3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>
      <c r="A802" s="10"/>
      <c r="B802" s="10"/>
      <c r="C802" s="10"/>
      <c r="D802" s="10"/>
      <c r="E802" s="38"/>
      <c r="F802" s="10"/>
      <c r="G802" s="10"/>
      <c r="H802" s="10"/>
      <c r="I802" s="3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>
      <c r="A803" s="10"/>
      <c r="B803" s="10"/>
      <c r="C803" s="10"/>
      <c r="D803" s="10"/>
      <c r="E803" s="38"/>
      <c r="F803" s="10"/>
      <c r="G803" s="10"/>
      <c r="H803" s="10"/>
      <c r="I803" s="3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>
      <c r="A804" s="10"/>
      <c r="B804" s="10"/>
      <c r="C804" s="10"/>
      <c r="D804" s="10"/>
      <c r="E804" s="38"/>
      <c r="F804" s="10"/>
      <c r="G804" s="10"/>
      <c r="H804" s="10"/>
      <c r="I804" s="3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>
      <c r="A805" s="10"/>
      <c r="B805" s="10"/>
      <c r="C805" s="10"/>
      <c r="D805" s="10"/>
      <c r="E805" s="38"/>
      <c r="F805" s="10"/>
      <c r="G805" s="10"/>
      <c r="H805" s="10"/>
      <c r="I805" s="3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>
      <c r="A806" s="10"/>
      <c r="B806" s="10"/>
      <c r="C806" s="10"/>
      <c r="D806" s="10"/>
      <c r="E806" s="38"/>
      <c r="F806" s="10"/>
      <c r="G806" s="10"/>
      <c r="H806" s="10"/>
      <c r="I806" s="3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>
      <c r="A807" s="10"/>
      <c r="B807" s="10"/>
      <c r="C807" s="10"/>
      <c r="D807" s="10"/>
      <c r="E807" s="38"/>
      <c r="F807" s="10"/>
      <c r="G807" s="10"/>
      <c r="H807" s="10"/>
      <c r="I807" s="3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>
      <c r="A808" s="10"/>
      <c r="B808" s="10"/>
      <c r="C808" s="10"/>
      <c r="D808" s="10"/>
      <c r="E808" s="38"/>
      <c r="F808" s="10"/>
      <c r="G808" s="10"/>
      <c r="H808" s="10"/>
      <c r="I808" s="3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>
      <c r="A809" s="10"/>
      <c r="B809" s="10"/>
      <c r="C809" s="10"/>
      <c r="D809" s="10"/>
      <c r="E809" s="38"/>
      <c r="F809" s="10"/>
      <c r="G809" s="10"/>
      <c r="H809" s="10"/>
      <c r="I809" s="3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>
      <c r="A810" s="10"/>
      <c r="B810" s="10"/>
      <c r="C810" s="10"/>
      <c r="D810" s="10"/>
      <c r="E810" s="38"/>
      <c r="F810" s="10"/>
      <c r="G810" s="10"/>
      <c r="H810" s="10"/>
      <c r="I810" s="3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>
      <c r="A811" s="10"/>
      <c r="B811" s="10"/>
      <c r="C811" s="10"/>
      <c r="D811" s="10"/>
      <c r="E811" s="38"/>
      <c r="F811" s="10"/>
      <c r="G811" s="10"/>
      <c r="H811" s="10"/>
      <c r="I811" s="3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>
      <c r="A812" s="10"/>
      <c r="B812" s="10"/>
      <c r="C812" s="10"/>
      <c r="D812" s="10"/>
      <c r="E812" s="38"/>
      <c r="F812" s="10"/>
      <c r="G812" s="10"/>
      <c r="H812" s="10"/>
      <c r="I812" s="3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</row>
    <row r="813" spans="1:38">
      <c r="A813" s="10"/>
      <c r="B813" s="10"/>
      <c r="C813" s="10"/>
      <c r="D813" s="10"/>
      <c r="E813" s="38"/>
      <c r="F813" s="10"/>
      <c r="G813" s="10"/>
      <c r="H813" s="10"/>
      <c r="I813" s="3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</row>
    <row r="814" spans="1:38">
      <c r="A814" s="10"/>
      <c r="B814" s="10"/>
      <c r="C814" s="10"/>
      <c r="D814" s="10"/>
      <c r="E814" s="38"/>
      <c r="F814" s="10"/>
      <c r="G814" s="10"/>
      <c r="H814" s="10"/>
      <c r="I814" s="3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</row>
    <row r="815" spans="1:38">
      <c r="A815" s="10"/>
      <c r="B815" s="10"/>
      <c r="C815" s="10"/>
      <c r="D815" s="10"/>
      <c r="E815" s="38"/>
      <c r="F815" s="10"/>
      <c r="G815" s="10"/>
      <c r="H815" s="10"/>
      <c r="I815" s="3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</row>
    <row r="816" spans="1:38">
      <c r="A816" s="10"/>
      <c r="B816" s="10"/>
      <c r="C816" s="10"/>
      <c r="D816" s="10"/>
      <c r="E816" s="38"/>
      <c r="F816" s="10"/>
      <c r="G816" s="10"/>
      <c r="H816" s="10"/>
      <c r="I816" s="3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</row>
    <row r="817" spans="1:38">
      <c r="A817" s="10"/>
      <c r="B817" s="10"/>
      <c r="C817" s="10"/>
      <c r="D817" s="10"/>
      <c r="E817" s="38"/>
      <c r="F817" s="10"/>
      <c r="G817" s="10"/>
      <c r="H817" s="10"/>
      <c r="I817" s="3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</row>
    <row r="818" spans="1:38">
      <c r="A818" s="10"/>
      <c r="B818" s="10"/>
      <c r="C818" s="10"/>
      <c r="D818" s="10"/>
      <c r="E818" s="38"/>
      <c r="F818" s="10"/>
      <c r="G818" s="10"/>
      <c r="H818" s="10"/>
      <c r="I818" s="3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>
      <c r="A819" s="10"/>
      <c r="B819" s="10"/>
      <c r="C819" s="10"/>
      <c r="D819" s="10"/>
      <c r="E819" s="38"/>
      <c r="F819" s="10"/>
      <c r="G819" s="10"/>
      <c r="H819" s="10"/>
      <c r="I819" s="3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>
      <c r="A820" s="10"/>
      <c r="B820" s="10"/>
      <c r="C820" s="10"/>
      <c r="D820" s="10"/>
      <c r="E820" s="38"/>
      <c r="F820" s="10"/>
      <c r="G820" s="10"/>
      <c r="H820" s="10"/>
      <c r="I820" s="3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>
      <c r="A821" s="10"/>
      <c r="B821" s="10"/>
      <c r="C821" s="10"/>
      <c r="D821" s="10"/>
      <c r="E821" s="38"/>
      <c r="F821" s="10"/>
      <c r="G821" s="10"/>
      <c r="H821" s="10"/>
      <c r="I821" s="3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>
      <c r="A822" s="10"/>
      <c r="B822" s="10"/>
      <c r="C822" s="10"/>
      <c r="D822" s="10"/>
      <c r="E822" s="38"/>
      <c r="F822" s="10"/>
      <c r="G822" s="10"/>
      <c r="H822" s="10"/>
      <c r="I822" s="3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>
      <c r="A823" s="10"/>
      <c r="B823" s="10"/>
      <c r="C823" s="10"/>
      <c r="D823" s="10"/>
      <c r="E823" s="38"/>
      <c r="F823" s="10"/>
      <c r="G823" s="10"/>
      <c r="H823" s="10"/>
      <c r="I823" s="3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>
      <c r="A824" s="10"/>
      <c r="B824" s="10"/>
      <c r="C824" s="10"/>
      <c r="D824" s="10"/>
      <c r="E824" s="38"/>
      <c r="F824" s="10"/>
      <c r="G824" s="10"/>
      <c r="H824" s="10"/>
      <c r="I824" s="3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</row>
    <row r="825" spans="1:38">
      <c r="A825" s="10"/>
      <c r="B825" s="10"/>
      <c r="C825" s="10"/>
      <c r="D825" s="10"/>
      <c r="E825" s="38"/>
      <c r="F825" s="10"/>
      <c r="G825" s="10"/>
      <c r="H825" s="10"/>
      <c r="I825" s="3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</row>
    <row r="826" spans="1:38">
      <c r="A826" s="10"/>
      <c r="B826" s="10"/>
      <c r="C826" s="10"/>
      <c r="D826" s="10"/>
      <c r="E826" s="38"/>
      <c r="F826" s="10"/>
      <c r="G826" s="10"/>
      <c r="H826" s="10"/>
      <c r="I826" s="3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</row>
    <row r="827" spans="1:38">
      <c r="A827" s="10"/>
      <c r="B827" s="10"/>
      <c r="C827" s="10"/>
      <c r="D827" s="10"/>
      <c r="E827" s="38"/>
      <c r="F827" s="10"/>
      <c r="G827" s="10"/>
      <c r="H827" s="10"/>
      <c r="I827" s="3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</row>
    <row r="828" spans="1:38">
      <c r="A828" s="10"/>
      <c r="B828" s="10"/>
      <c r="C828" s="10"/>
      <c r="D828" s="10"/>
      <c r="E828" s="38"/>
      <c r="F828" s="10"/>
      <c r="G828" s="10"/>
      <c r="H828" s="10"/>
      <c r="I828" s="3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</row>
    <row r="829" spans="1:38">
      <c r="A829" s="10"/>
      <c r="B829" s="10"/>
      <c r="C829" s="10"/>
      <c r="D829" s="10"/>
      <c r="E829" s="38"/>
      <c r="F829" s="10"/>
      <c r="G829" s="10"/>
      <c r="H829" s="10"/>
      <c r="I829" s="3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</row>
    <row r="830" spans="1:38">
      <c r="A830" s="10"/>
      <c r="B830" s="10"/>
      <c r="C830" s="10"/>
      <c r="D830" s="10"/>
      <c r="E830" s="38"/>
      <c r="F830" s="10"/>
      <c r="G830" s="10"/>
      <c r="H830" s="10"/>
      <c r="I830" s="3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>
      <c r="A831" s="10"/>
      <c r="B831" s="10"/>
      <c r="C831" s="10"/>
      <c r="D831" s="10"/>
      <c r="E831" s="38"/>
      <c r="F831" s="10"/>
      <c r="G831" s="10"/>
      <c r="H831" s="10"/>
      <c r="I831" s="3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>
      <c r="A832" s="10"/>
      <c r="B832" s="10"/>
      <c r="C832" s="10"/>
      <c r="D832" s="10"/>
      <c r="E832" s="38"/>
      <c r="F832" s="10"/>
      <c r="G832" s="10"/>
      <c r="H832" s="10"/>
      <c r="I832" s="3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>
      <c r="A833" s="10"/>
      <c r="B833" s="10"/>
      <c r="C833" s="10"/>
      <c r="D833" s="10"/>
      <c r="E833" s="38"/>
      <c r="F833" s="10"/>
      <c r="G833" s="10"/>
      <c r="H833" s="10"/>
      <c r="I833" s="3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</row>
    <row r="834" spans="1:38">
      <c r="A834" s="10"/>
      <c r="B834" s="10"/>
      <c r="C834" s="10"/>
      <c r="D834" s="10"/>
      <c r="E834" s="38"/>
      <c r="F834" s="10"/>
      <c r="G834" s="10"/>
      <c r="H834" s="10"/>
      <c r="I834" s="3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</row>
    <row r="835" spans="1:38">
      <c r="A835" s="10"/>
      <c r="B835" s="10"/>
      <c r="C835" s="10"/>
      <c r="D835" s="10"/>
      <c r="E835" s="38"/>
      <c r="F835" s="10"/>
      <c r="G835" s="10"/>
      <c r="H835" s="10"/>
      <c r="I835" s="3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</row>
    <row r="836" spans="1:38">
      <c r="A836" s="10"/>
      <c r="B836" s="10"/>
      <c r="C836" s="10"/>
      <c r="D836" s="10"/>
      <c r="E836" s="38"/>
      <c r="F836" s="10"/>
      <c r="G836" s="10"/>
      <c r="H836" s="10"/>
      <c r="I836" s="3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</row>
    <row r="837" spans="1:38">
      <c r="A837" s="10"/>
      <c r="B837" s="10"/>
      <c r="C837" s="10"/>
      <c r="D837" s="10"/>
      <c r="E837" s="38"/>
      <c r="F837" s="10"/>
      <c r="G837" s="10"/>
      <c r="H837" s="10"/>
      <c r="I837" s="3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</row>
    <row r="838" spans="1:38">
      <c r="A838" s="10"/>
      <c r="B838" s="10"/>
      <c r="C838" s="10"/>
      <c r="D838" s="10"/>
      <c r="E838" s="38"/>
      <c r="F838" s="10"/>
      <c r="G838" s="10"/>
      <c r="H838" s="10"/>
      <c r="I838" s="3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</row>
    <row r="839" spans="1:38">
      <c r="A839" s="10"/>
      <c r="B839" s="10"/>
      <c r="C839" s="10"/>
      <c r="D839" s="10"/>
      <c r="E839" s="38"/>
      <c r="F839" s="10"/>
      <c r="G839" s="10"/>
      <c r="H839" s="10"/>
      <c r="I839" s="3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</row>
    <row r="840" spans="1:38">
      <c r="A840" s="10"/>
      <c r="B840" s="10"/>
      <c r="C840" s="10"/>
      <c r="D840" s="10"/>
      <c r="E840" s="38"/>
      <c r="F840" s="10"/>
      <c r="G840" s="10"/>
      <c r="H840" s="10"/>
      <c r="I840" s="3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</row>
    <row r="841" spans="1:38">
      <c r="A841" s="10"/>
      <c r="B841" s="10"/>
      <c r="C841" s="10"/>
      <c r="D841" s="10"/>
      <c r="E841" s="38"/>
      <c r="F841" s="10"/>
      <c r="G841" s="10"/>
      <c r="H841" s="10"/>
      <c r="I841" s="3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</row>
    <row r="842" spans="1:38">
      <c r="A842" s="10"/>
      <c r="B842" s="10"/>
      <c r="C842" s="10"/>
      <c r="D842" s="10"/>
      <c r="E842" s="38"/>
      <c r="F842" s="10"/>
      <c r="G842" s="10"/>
      <c r="H842" s="10"/>
      <c r="I842" s="3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</row>
    <row r="843" spans="1:38">
      <c r="A843" s="10"/>
      <c r="B843" s="10"/>
      <c r="C843" s="10"/>
      <c r="D843" s="10"/>
      <c r="E843" s="38"/>
      <c r="F843" s="10"/>
      <c r="G843" s="10"/>
      <c r="H843" s="10"/>
      <c r="I843" s="3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</row>
    <row r="844" spans="1:38">
      <c r="A844" s="10"/>
      <c r="B844" s="10"/>
      <c r="C844" s="10"/>
      <c r="D844" s="10"/>
      <c r="E844" s="38"/>
      <c r="F844" s="10"/>
      <c r="G844" s="10"/>
      <c r="H844" s="10"/>
      <c r="I844" s="3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</row>
    <row r="845" spans="1:38">
      <c r="A845" s="10"/>
      <c r="B845" s="10"/>
      <c r="C845" s="10"/>
      <c r="D845" s="10"/>
      <c r="E845" s="38"/>
      <c r="F845" s="10"/>
      <c r="G845" s="10"/>
      <c r="H845" s="10"/>
      <c r="I845" s="3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</row>
    <row r="846" spans="1:38">
      <c r="A846" s="10"/>
      <c r="B846" s="10"/>
      <c r="C846" s="10"/>
      <c r="D846" s="10"/>
      <c r="E846" s="38"/>
      <c r="F846" s="10"/>
      <c r="G846" s="10"/>
      <c r="H846" s="10"/>
      <c r="I846" s="3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</row>
    <row r="847" spans="1:38">
      <c r="A847" s="10"/>
      <c r="B847" s="10"/>
      <c r="C847" s="10"/>
      <c r="D847" s="10"/>
      <c r="E847" s="38"/>
      <c r="F847" s="10"/>
      <c r="G847" s="10"/>
      <c r="H847" s="10"/>
      <c r="I847" s="3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</row>
    <row r="848" spans="1:38">
      <c r="A848" s="10"/>
      <c r="B848" s="10"/>
      <c r="C848" s="10"/>
      <c r="D848" s="10"/>
      <c r="E848" s="38"/>
      <c r="F848" s="10"/>
      <c r="G848" s="10"/>
      <c r="H848" s="10"/>
      <c r="I848" s="3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>
      <c r="A849" s="10"/>
      <c r="B849" s="10"/>
      <c r="C849" s="10"/>
      <c r="D849" s="10"/>
      <c r="E849" s="38"/>
      <c r="F849" s="10"/>
      <c r="G849" s="10"/>
      <c r="H849" s="10"/>
      <c r="I849" s="3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>
      <c r="A850" s="10"/>
      <c r="B850" s="10"/>
      <c r="C850" s="10"/>
      <c r="D850" s="10"/>
      <c r="E850" s="38"/>
      <c r="F850" s="10"/>
      <c r="G850" s="10"/>
      <c r="H850" s="10"/>
      <c r="I850" s="3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>
      <c r="A851" s="10"/>
      <c r="B851" s="10"/>
      <c r="C851" s="10"/>
      <c r="D851" s="10"/>
      <c r="E851" s="38"/>
      <c r="F851" s="10"/>
      <c r="G851" s="10"/>
      <c r="H851" s="10"/>
      <c r="I851" s="3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>
      <c r="A852" s="10"/>
      <c r="B852" s="10"/>
      <c r="C852" s="10"/>
      <c r="D852" s="10"/>
      <c r="E852" s="38"/>
      <c r="F852" s="10"/>
      <c r="G852" s="10"/>
      <c r="H852" s="10"/>
      <c r="I852" s="3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>
      <c r="A853" s="10"/>
      <c r="B853" s="10"/>
      <c r="C853" s="10"/>
      <c r="D853" s="10"/>
      <c r="E853" s="38"/>
      <c r="F853" s="10"/>
      <c r="G853" s="10"/>
      <c r="H853" s="10"/>
      <c r="I853" s="3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>
      <c r="A854" s="10"/>
      <c r="B854" s="10"/>
      <c r="C854" s="10"/>
      <c r="D854" s="10"/>
      <c r="E854" s="38"/>
      <c r="F854" s="10"/>
      <c r="G854" s="10"/>
      <c r="H854" s="10"/>
      <c r="I854" s="3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>
      <c r="A855" s="10"/>
      <c r="B855" s="10"/>
      <c r="C855" s="10"/>
      <c r="D855" s="10"/>
      <c r="E855" s="38"/>
      <c r="F855" s="10"/>
      <c r="G855" s="10"/>
      <c r="H855" s="10"/>
      <c r="I855" s="3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>
      <c r="A856" s="10"/>
      <c r="B856" s="10"/>
      <c r="C856" s="10"/>
      <c r="D856" s="10"/>
      <c r="E856" s="38"/>
      <c r="F856" s="10"/>
      <c r="G856" s="10"/>
      <c r="H856" s="10"/>
      <c r="I856" s="3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>
      <c r="A857" s="10"/>
      <c r="B857" s="10"/>
      <c r="C857" s="10"/>
      <c r="D857" s="10"/>
      <c r="E857" s="38"/>
      <c r="F857" s="10"/>
      <c r="G857" s="10"/>
      <c r="H857" s="10"/>
      <c r="I857" s="3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</row>
    <row r="858" spans="1:38">
      <c r="A858" s="10"/>
      <c r="B858" s="10"/>
      <c r="C858" s="10"/>
      <c r="D858" s="10"/>
      <c r="E858" s="38"/>
      <c r="F858" s="10"/>
      <c r="G858" s="10"/>
      <c r="H858" s="10"/>
      <c r="I858" s="3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</row>
    <row r="859" spans="1:38">
      <c r="A859" s="10"/>
      <c r="B859" s="10"/>
      <c r="C859" s="10"/>
      <c r="D859" s="10"/>
      <c r="E859" s="38"/>
      <c r="F859" s="10"/>
      <c r="G859" s="10"/>
      <c r="H859" s="10"/>
      <c r="I859" s="3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>
      <c r="A860" s="10"/>
      <c r="B860" s="10"/>
      <c r="C860" s="10"/>
      <c r="D860" s="10"/>
      <c r="E860" s="38"/>
      <c r="F860" s="10"/>
      <c r="G860" s="10"/>
      <c r="H860" s="10"/>
      <c r="I860" s="3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>
      <c r="A861" s="10"/>
      <c r="B861" s="10"/>
      <c r="C861" s="10"/>
      <c r="D861" s="10"/>
      <c r="E861" s="38"/>
      <c r="F861" s="10"/>
      <c r="G861" s="10"/>
      <c r="H861" s="10"/>
      <c r="I861" s="3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>
      <c r="A862" s="10"/>
      <c r="B862" s="10"/>
      <c r="C862" s="10"/>
      <c r="D862" s="10"/>
      <c r="E862" s="38"/>
      <c r="F862" s="10"/>
      <c r="G862" s="10"/>
      <c r="H862" s="10"/>
      <c r="I862" s="3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>
      <c r="A863" s="10"/>
      <c r="B863" s="10"/>
      <c r="C863" s="10"/>
      <c r="D863" s="10"/>
      <c r="E863" s="38"/>
      <c r="F863" s="10"/>
      <c r="G863" s="10"/>
      <c r="H863" s="10"/>
      <c r="I863" s="3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</row>
    <row r="864" spans="1:38">
      <c r="A864" s="10"/>
      <c r="B864" s="10"/>
      <c r="C864" s="10"/>
      <c r="D864" s="10"/>
      <c r="E864" s="38"/>
      <c r="F864" s="10"/>
      <c r="G864" s="10"/>
      <c r="H864" s="10"/>
      <c r="I864" s="3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</row>
    <row r="865" spans="1:38">
      <c r="A865" s="10"/>
      <c r="B865" s="10"/>
      <c r="C865" s="10"/>
      <c r="D865" s="10"/>
      <c r="E865" s="38"/>
      <c r="F865" s="10"/>
      <c r="G865" s="10"/>
      <c r="H865" s="10"/>
      <c r="I865" s="3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</row>
    <row r="866" spans="1:38">
      <c r="A866" s="10"/>
      <c r="B866" s="10"/>
      <c r="C866" s="10"/>
      <c r="D866" s="10"/>
      <c r="E866" s="38"/>
      <c r="F866" s="10"/>
      <c r="G866" s="10"/>
      <c r="H866" s="10"/>
      <c r="I866" s="3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>
      <c r="A867" s="10"/>
      <c r="B867" s="10"/>
      <c r="C867" s="10"/>
      <c r="D867" s="10"/>
      <c r="E867" s="38"/>
      <c r="F867" s="10"/>
      <c r="G867" s="10"/>
      <c r="H867" s="10"/>
      <c r="I867" s="3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>
      <c r="A868" s="10"/>
      <c r="B868" s="10"/>
      <c r="C868" s="10"/>
      <c r="D868" s="10"/>
      <c r="E868" s="38"/>
      <c r="F868" s="10"/>
      <c r="G868" s="10"/>
      <c r="H868" s="10"/>
      <c r="I868" s="3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>
      <c r="A869" s="10"/>
      <c r="B869" s="10"/>
      <c r="C869" s="10"/>
      <c r="D869" s="10"/>
      <c r="E869" s="38"/>
      <c r="F869" s="10"/>
      <c r="G869" s="10"/>
      <c r="H869" s="10"/>
      <c r="I869" s="3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>
      <c r="A870" s="10"/>
      <c r="B870" s="10"/>
      <c r="C870" s="10"/>
      <c r="D870" s="10"/>
      <c r="E870" s="38"/>
      <c r="F870" s="10"/>
      <c r="G870" s="10"/>
      <c r="H870" s="10"/>
      <c r="I870" s="3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>
      <c r="A871" s="10"/>
      <c r="B871" s="10"/>
      <c r="C871" s="10"/>
      <c r="D871" s="10"/>
      <c r="E871" s="38"/>
      <c r="F871" s="10"/>
      <c r="G871" s="10"/>
      <c r="H871" s="10"/>
      <c r="I871" s="3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>
      <c r="A872" s="10"/>
      <c r="B872" s="10"/>
      <c r="C872" s="10"/>
      <c r="D872" s="10"/>
      <c r="E872" s="38"/>
      <c r="F872" s="10"/>
      <c r="G872" s="10"/>
      <c r="H872" s="10"/>
      <c r="I872" s="3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>
      <c r="A873" s="10"/>
      <c r="B873" s="10"/>
      <c r="C873" s="10"/>
      <c r="D873" s="10"/>
      <c r="E873" s="38"/>
      <c r="F873" s="10"/>
      <c r="G873" s="10"/>
      <c r="H873" s="10"/>
      <c r="I873" s="3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>
      <c r="A874" s="10"/>
      <c r="B874" s="10"/>
      <c r="C874" s="10"/>
      <c r="D874" s="10"/>
      <c r="E874" s="38"/>
      <c r="F874" s="10"/>
      <c r="G874" s="10"/>
      <c r="H874" s="10"/>
      <c r="I874" s="3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>
      <c r="A875" s="10"/>
      <c r="B875" s="10"/>
      <c r="C875" s="10"/>
      <c r="D875" s="10"/>
      <c r="E875" s="38"/>
      <c r="F875" s="10"/>
      <c r="G875" s="10"/>
      <c r="H875" s="10"/>
      <c r="I875" s="3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</row>
    <row r="876" spans="1:38">
      <c r="A876" s="10"/>
      <c r="B876" s="10"/>
      <c r="C876" s="10"/>
      <c r="D876" s="10"/>
      <c r="E876" s="38"/>
      <c r="F876" s="10"/>
      <c r="G876" s="10"/>
      <c r="H876" s="10"/>
      <c r="I876" s="3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>
      <c r="A877" s="10"/>
      <c r="B877" s="10"/>
      <c r="C877" s="10"/>
      <c r="D877" s="10"/>
      <c r="E877" s="38"/>
      <c r="F877" s="10"/>
      <c r="G877" s="10"/>
      <c r="H877" s="10"/>
      <c r="I877" s="3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</row>
    <row r="878" spans="1:38">
      <c r="A878" s="10"/>
      <c r="B878" s="10"/>
      <c r="C878" s="10"/>
      <c r="D878" s="10"/>
      <c r="E878" s="38"/>
      <c r="F878" s="10"/>
      <c r="G878" s="10"/>
      <c r="H878" s="10"/>
      <c r="I878" s="3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>
      <c r="A879" s="10"/>
      <c r="B879" s="10"/>
      <c r="C879" s="10"/>
      <c r="D879" s="10"/>
      <c r="E879" s="38"/>
      <c r="F879" s="10"/>
      <c r="G879" s="10"/>
      <c r="H879" s="10"/>
      <c r="I879" s="3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>
      <c r="A880" s="10"/>
      <c r="B880" s="10"/>
      <c r="C880" s="10"/>
      <c r="D880" s="10"/>
      <c r="E880" s="38"/>
      <c r="F880" s="10"/>
      <c r="G880" s="10"/>
      <c r="H880" s="10"/>
      <c r="I880" s="3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>
      <c r="A881" s="10"/>
      <c r="B881" s="10"/>
      <c r="C881" s="10"/>
      <c r="D881" s="10"/>
      <c r="E881" s="38"/>
      <c r="F881" s="10"/>
      <c r="G881" s="10"/>
      <c r="H881" s="10"/>
      <c r="I881" s="3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</row>
    <row r="882" spans="1:38">
      <c r="A882" s="10"/>
      <c r="B882" s="10"/>
      <c r="C882" s="10"/>
      <c r="D882" s="10"/>
      <c r="E882" s="38"/>
      <c r="F882" s="10"/>
      <c r="G882" s="10"/>
      <c r="H882" s="10"/>
      <c r="I882" s="3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</row>
    <row r="883" spans="1:38">
      <c r="A883" s="10"/>
      <c r="B883" s="10"/>
      <c r="C883" s="10"/>
      <c r="D883" s="10"/>
      <c r="E883" s="38"/>
      <c r="F883" s="10"/>
      <c r="G883" s="10"/>
      <c r="H883" s="10"/>
      <c r="I883" s="3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</row>
    <row r="884" spans="1:38">
      <c r="A884" s="10"/>
      <c r="B884" s="10"/>
      <c r="C884" s="10"/>
      <c r="D884" s="10"/>
      <c r="E884" s="38"/>
      <c r="F884" s="10"/>
      <c r="G884" s="10"/>
      <c r="H884" s="10"/>
      <c r="I884" s="3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</row>
    <row r="885" spans="1:38">
      <c r="A885" s="10"/>
      <c r="B885" s="10"/>
      <c r="C885" s="10"/>
      <c r="D885" s="10"/>
      <c r="E885" s="38"/>
      <c r="F885" s="10"/>
      <c r="G885" s="10"/>
      <c r="H885" s="10"/>
      <c r="I885" s="3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</row>
    <row r="886" spans="1:38">
      <c r="A886" s="10"/>
      <c r="B886" s="10"/>
      <c r="C886" s="10"/>
      <c r="D886" s="10"/>
      <c r="E886" s="38"/>
      <c r="F886" s="10"/>
      <c r="G886" s="10"/>
      <c r="H886" s="10"/>
      <c r="I886" s="3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</row>
    <row r="887" spans="1:38">
      <c r="A887" s="10"/>
      <c r="B887" s="10"/>
      <c r="C887" s="10"/>
      <c r="D887" s="10"/>
      <c r="E887" s="38"/>
      <c r="F887" s="10"/>
      <c r="G887" s="10"/>
      <c r="H887" s="10"/>
      <c r="I887" s="3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</row>
    <row r="888" spans="1:38">
      <c r="A888" s="10"/>
      <c r="B888" s="10"/>
      <c r="C888" s="10"/>
      <c r="D888" s="10"/>
      <c r="E888" s="38"/>
      <c r="F888" s="10"/>
      <c r="G888" s="10"/>
      <c r="H888" s="10"/>
      <c r="I888" s="3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</row>
    <row r="889" spans="1:38">
      <c r="A889" s="10"/>
      <c r="B889" s="10"/>
      <c r="C889" s="10"/>
      <c r="D889" s="10"/>
      <c r="E889" s="38"/>
      <c r="F889" s="10"/>
      <c r="G889" s="10"/>
      <c r="H889" s="10"/>
      <c r="I889" s="3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</row>
    <row r="890" spans="1:38">
      <c r="A890" s="10"/>
      <c r="B890" s="10"/>
      <c r="C890" s="10"/>
      <c r="D890" s="10"/>
      <c r="E890" s="38"/>
      <c r="F890" s="10"/>
      <c r="G890" s="10"/>
      <c r="H890" s="10"/>
      <c r="I890" s="3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</row>
    <row r="891" spans="1:38">
      <c r="A891" s="10"/>
      <c r="B891" s="10"/>
      <c r="C891" s="10"/>
      <c r="D891" s="10"/>
      <c r="E891" s="38"/>
      <c r="F891" s="10"/>
      <c r="G891" s="10"/>
      <c r="H891" s="10"/>
      <c r="I891" s="3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</row>
    <row r="892" spans="1:38">
      <c r="A892" s="10"/>
      <c r="B892" s="10"/>
      <c r="C892" s="10"/>
      <c r="D892" s="10"/>
      <c r="E892" s="38"/>
      <c r="F892" s="10"/>
      <c r="G892" s="10"/>
      <c r="H892" s="10"/>
      <c r="I892" s="3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</row>
    <row r="893" spans="1:38">
      <c r="A893" s="10"/>
      <c r="B893" s="10"/>
      <c r="C893" s="10"/>
      <c r="D893" s="10"/>
      <c r="E893" s="38"/>
      <c r="F893" s="10"/>
      <c r="G893" s="10"/>
      <c r="H893" s="10"/>
      <c r="I893" s="3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>
      <c r="A894" s="10"/>
      <c r="B894" s="10"/>
      <c r="C894" s="10"/>
      <c r="D894" s="10"/>
      <c r="E894" s="38"/>
      <c r="F894" s="10"/>
      <c r="G894" s="10"/>
      <c r="H894" s="10"/>
      <c r="I894" s="3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>
      <c r="A895" s="10"/>
      <c r="B895" s="10"/>
      <c r="C895" s="10"/>
      <c r="D895" s="10"/>
      <c r="E895" s="38"/>
      <c r="F895" s="10"/>
      <c r="G895" s="10"/>
      <c r="H895" s="10"/>
      <c r="I895" s="3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>
      <c r="A896" s="10"/>
      <c r="B896" s="10"/>
      <c r="C896" s="10"/>
      <c r="D896" s="10"/>
      <c r="E896" s="38"/>
      <c r="F896" s="10"/>
      <c r="G896" s="10"/>
      <c r="H896" s="10"/>
      <c r="I896" s="3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>
      <c r="A897" s="10"/>
      <c r="B897" s="10"/>
      <c r="C897" s="10"/>
      <c r="D897" s="10"/>
      <c r="E897" s="38"/>
      <c r="F897" s="10"/>
      <c r="G897" s="10"/>
      <c r="H897" s="10"/>
      <c r="I897" s="3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>
      <c r="A898" s="10"/>
      <c r="B898" s="10"/>
      <c r="C898" s="10"/>
      <c r="D898" s="10"/>
      <c r="E898" s="38"/>
      <c r="F898" s="10"/>
      <c r="G898" s="10"/>
      <c r="H898" s="10"/>
      <c r="I898" s="3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>
      <c r="A899" s="10"/>
      <c r="B899" s="10"/>
      <c r="C899" s="10"/>
      <c r="D899" s="10"/>
      <c r="E899" s="38"/>
      <c r="F899" s="10"/>
      <c r="G899" s="10"/>
      <c r="H899" s="10"/>
      <c r="I899" s="3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>
      <c r="A900" s="10"/>
      <c r="B900" s="10"/>
      <c r="C900" s="10"/>
      <c r="D900" s="10"/>
      <c r="E900" s="38"/>
      <c r="F900" s="10"/>
      <c r="G900" s="10"/>
      <c r="H900" s="10"/>
      <c r="I900" s="3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>
      <c r="A901" s="10"/>
      <c r="B901" s="10"/>
      <c r="C901" s="10"/>
      <c r="D901" s="10"/>
      <c r="E901" s="38"/>
      <c r="F901" s="10"/>
      <c r="G901" s="10"/>
      <c r="H901" s="10"/>
      <c r="I901" s="3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>
      <c r="A902" s="10"/>
      <c r="B902" s="10"/>
      <c r="C902" s="10"/>
      <c r="D902" s="10"/>
      <c r="E902" s="38"/>
      <c r="F902" s="10"/>
      <c r="G902" s="10"/>
      <c r="H902" s="10"/>
      <c r="I902" s="3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</row>
    <row r="903" spans="1:38">
      <c r="A903" s="10"/>
      <c r="B903" s="10"/>
      <c r="C903" s="10"/>
      <c r="D903" s="10"/>
      <c r="E903" s="38"/>
      <c r="F903" s="10"/>
      <c r="G903" s="10"/>
      <c r="H903" s="10"/>
      <c r="I903" s="3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</row>
    <row r="904" spans="1:38">
      <c r="A904" s="10"/>
      <c r="B904" s="10"/>
      <c r="C904" s="10"/>
      <c r="D904" s="10"/>
      <c r="E904" s="38"/>
      <c r="F904" s="10"/>
      <c r="G904" s="10"/>
      <c r="H904" s="10"/>
      <c r="I904" s="3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</row>
    <row r="905" spans="1:38">
      <c r="A905" s="10"/>
      <c r="B905" s="10"/>
      <c r="C905" s="10"/>
      <c r="D905" s="10"/>
      <c r="E905" s="38"/>
      <c r="F905" s="10"/>
      <c r="G905" s="10"/>
      <c r="H905" s="10"/>
      <c r="I905" s="3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</row>
    <row r="906" spans="1:38">
      <c r="A906" s="10"/>
      <c r="B906" s="10"/>
      <c r="C906" s="10"/>
      <c r="D906" s="10"/>
      <c r="E906" s="38"/>
      <c r="F906" s="10"/>
      <c r="G906" s="10"/>
      <c r="H906" s="10"/>
      <c r="I906" s="3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</row>
    <row r="907" spans="1:38">
      <c r="A907" s="10"/>
      <c r="B907" s="10"/>
      <c r="C907" s="10"/>
      <c r="D907" s="10"/>
      <c r="E907" s="38"/>
      <c r="F907" s="10"/>
      <c r="G907" s="10"/>
      <c r="H907" s="10"/>
      <c r="I907" s="3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</row>
    <row r="908" spans="1:38">
      <c r="A908" s="10"/>
      <c r="B908" s="10"/>
      <c r="C908" s="10"/>
      <c r="D908" s="10"/>
      <c r="E908" s="38"/>
      <c r="F908" s="10"/>
      <c r="G908" s="10"/>
      <c r="H908" s="10"/>
      <c r="I908" s="3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>
      <c r="A909" s="10"/>
      <c r="B909" s="10"/>
      <c r="C909" s="10"/>
      <c r="D909" s="10"/>
      <c r="E909" s="38"/>
      <c r="F909" s="10"/>
      <c r="G909" s="10"/>
      <c r="H909" s="10"/>
      <c r="I909" s="3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</row>
    <row r="910" spans="1:38">
      <c r="A910" s="10"/>
      <c r="B910" s="10"/>
      <c r="C910" s="10"/>
      <c r="D910" s="10"/>
      <c r="E910" s="38"/>
      <c r="F910" s="10"/>
      <c r="G910" s="10"/>
      <c r="H910" s="10"/>
      <c r="I910" s="3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</row>
    <row r="911" spans="1:38">
      <c r="A911" s="10"/>
      <c r="B911" s="10"/>
      <c r="C911" s="10"/>
      <c r="D911" s="10"/>
      <c r="E911" s="38"/>
      <c r="F911" s="10"/>
      <c r="G911" s="10"/>
      <c r="H911" s="10"/>
      <c r="I911" s="3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>
      <c r="A912" s="10"/>
      <c r="B912" s="10"/>
      <c r="C912" s="10"/>
      <c r="D912" s="10"/>
      <c r="E912" s="38"/>
      <c r="F912" s="10"/>
      <c r="G912" s="10"/>
      <c r="H912" s="10"/>
      <c r="I912" s="3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>
      <c r="A913" s="10"/>
      <c r="B913" s="10"/>
      <c r="C913" s="10"/>
      <c r="D913" s="10"/>
      <c r="E913" s="38"/>
      <c r="F913" s="10"/>
      <c r="G913" s="10"/>
      <c r="H913" s="10"/>
      <c r="I913" s="3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>
      <c r="A914" s="10"/>
      <c r="B914" s="10"/>
      <c r="C914" s="10"/>
      <c r="D914" s="10"/>
      <c r="E914" s="38"/>
      <c r="F914" s="10"/>
      <c r="G914" s="10"/>
      <c r="H914" s="10"/>
      <c r="I914" s="3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</row>
    <row r="915" spans="1:38">
      <c r="A915" s="10"/>
      <c r="B915" s="10"/>
      <c r="C915" s="10"/>
      <c r="D915" s="10"/>
      <c r="E915" s="38"/>
      <c r="F915" s="10"/>
      <c r="G915" s="10"/>
      <c r="H915" s="10"/>
      <c r="I915" s="3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</row>
    <row r="916" spans="1:38">
      <c r="A916" s="10"/>
      <c r="B916" s="10"/>
      <c r="C916" s="10"/>
      <c r="D916" s="10"/>
      <c r="E916" s="38"/>
      <c r="F916" s="10"/>
      <c r="G916" s="10"/>
      <c r="H916" s="10"/>
      <c r="I916" s="3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</row>
    <row r="917" spans="1:38">
      <c r="A917" s="10"/>
      <c r="B917" s="10"/>
      <c r="C917" s="10"/>
      <c r="D917" s="10"/>
      <c r="E917" s="38"/>
      <c r="F917" s="10"/>
      <c r="G917" s="10"/>
      <c r="H917" s="10"/>
      <c r="I917" s="3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</row>
    <row r="918" spans="1:38">
      <c r="A918" s="10"/>
      <c r="B918" s="10"/>
      <c r="C918" s="10"/>
      <c r="D918" s="10"/>
      <c r="E918" s="38"/>
      <c r="F918" s="10"/>
      <c r="G918" s="10"/>
      <c r="H918" s="10"/>
      <c r="I918" s="3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</row>
    <row r="919" spans="1:38">
      <c r="A919" s="10"/>
      <c r="B919" s="10"/>
      <c r="C919" s="10"/>
      <c r="D919" s="10"/>
      <c r="E919" s="38"/>
      <c r="F919" s="10"/>
      <c r="G919" s="10"/>
      <c r="H919" s="10"/>
      <c r="I919" s="3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</row>
    <row r="920" spans="1:38">
      <c r="A920" s="10"/>
      <c r="B920" s="10"/>
      <c r="C920" s="10"/>
      <c r="D920" s="10"/>
      <c r="E920" s="38"/>
      <c r="F920" s="10"/>
      <c r="G920" s="10"/>
      <c r="H920" s="10"/>
      <c r="I920" s="3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>
      <c r="A921" s="10"/>
      <c r="B921" s="10"/>
      <c r="C921" s="10"/>
      <c r="D921" s="10"/>
      <c r="E921" s="38"/>
      <c r="F921" s="10"/>
      <c r="G921" s="10"/>
      <c r="H921" s="10"/>
      <c r="I921" s="3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>
      <c r="A922" s="10"/>
      <c r="B922" s="10"/>
      <c r="C922" s="10"/>
      <c r="D922" s="10"/>
      <c r="E922" s="38"/>
      <c r="F922" s="10"/>
      <c r="G922" s="10"/>
      <c r="H922" s="10"/>
      <c r="I922" s="3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>
      <c r="A923" s="10"/>
      <c r="B923" s="10"/>
      <c r="C923" s="10"/>
      <c r="D923" s="10"/>
      <c r="E923" s="38"/>
      <c r="F923" s="10"/>
      <c r="G923" s="10"/>
      <c r="H923" s="10"/>
      <c r="I923" s="3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>
      <c r="A924" s="10"/>
      <c r="B924" s="10"/>
      <c r="C924" s="10"/>
      <c r="D924" s="10"/>
      <c r="E924" s="38"/>
      <c r="F924" s="10"/>
      <c r="G924" s="10"/>
      <c r="H924" s="10"/>
      <c r="I924" s="3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>
      <c r="A925" s="10"/>
      <c r="B925" s="10"/>
      <c r="C925" s="10"/>
      <c r="D925" s="10"/>
      <c r="E925" s="38"/>
      <c r="F925" s="10"/>
      <c r="G925" s="10"/>
      <c r="H925" s="10"/>
      <c r="I925" s="3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>
      <c r="A926" s="10"/>
      <c r="B926" s="10"/>
      <c r="C926" s="10"/>
      <c r="D926" s="10"/>
      <c r="E926" s="38"/>
      <c r="F926" s="10"/>
      <c r="G926" s="10"/>
      <c r="H926" s="10"/>
      <c r="I926" s="3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>
      <c r="A927" s="10"/>
      <c r="B927" s="10"/>
      <c r="C927" s="10"/>
      <c r="D927" s="10"/>
      <c r="E927" s="38"/>
      <c r="F927" s="10"/>
      <c r="G927" s="10"/>
      <c r="H927" s="10"/>
      <c r="I927" s="3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>
      <c r="A928" s="10"/>
      <c r="B928" s="10"/>
      <c r="C928" s="10"/>
      <c r="D928" s="10"/>
      <c r="E928" s="38"/>
      <c r="F928" s="10"/>
      <c r="G928" s="10"/>
      <c r="H928" s="10"/>
      <c r="I928" s="3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>
      <c r="A929" s="10"/>
      <c r="B929" s="10"/>
      <c r="C929" s="10"/>
      <c r="D929" s="10"/>
      <c r="E929" s="38"/>
      <c r="F929" s="10"/>
      <c r="G929" s="10"/>
      <c r="H929" s="10"/>
      <c r="I929" s="3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</row>
    <row r="930" spans="1:38">
      <c r="A930" s="10"/>
      <c r="B930" s="10"/>
      <c r="C930" s="10"/>
      <c r="D930" s="10"/>
      <c r="E930" s="38"/>
      <c r="F930" s="10"/>
      <c r="G930" s="10"/>
      <c r="H930" s="10"/>
      <c r="I930" s="3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</row>
    <row r="931" spans="1:38">
      <c r="A931" s="10"/>
      <c r="B931" s="10"/>
      <c r="C931" s="10"/>
      <c r="D931" s="10"/>
      <c r="E931" s="38"/>
      <c r="F931" s="10"/>
      <c r="G931" s="10"/>
      <c r="H931" s="10"/>
      <c r="I931" s="3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</row>
    <row r="932" spans="1:38">
      <c r="A932" s="10"/>
      <c r="B932" s="10"/>
      <c r="C932" s="10"/>
      <c r="D932" s="10"/>
      <c r="E932" s="38"/>
      <c r="F932" s="10"/>
      <c r="G932" s="10"/>
      <c r="H932" s="10"/>
      <c r="I932" s="3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</row>
    <row r="933" spans="1:38">
      <c r="A933" s="10"/>
      <c r="B933" s="10"/>
      <c r="C933" s="10"/>
      <c r="D933" s="10"/>
      <c r="E933" s="38"/>
      <c r="F933" s="10"/>
      <c r="G933" s="10"/>
      <c r="H933" s="10"/>
      <c r="I933" s="3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</row>
    <row r="934" spans="1:38">
      <c r="A934" s="10"/>
      <c r="B934" s="10"/>
      <c r="C934" s="10"/>
      <c r="D934" s="10"/>
      <c r="E934" s="38"/>
      <c r="F934" s="10"/>
      <c r="G934" s="10"/>
      <c r="H934" s="10"/>
      <c r="I934" s="3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</row>
    <row r="935" spans="1:38">
      <c r="A935" s="10"/>
      <c r="B935" s="10"/>
      <c r="C935" s="10"/>
      <c r="D935" s="10"/>
      <c r="E935" s="38"/>
      <c r="F935" s="10"/>
      <c r="G935" s="10"/>
      <c r="H935" s="10"/>
      <c r="I935" s="3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>
      <c r="A936" s="10"/>
      <c r="B936" s="10"/>
      <c r="C936" s="10"/>
      <c r="D936" s="10"/>
      <c r="E936" s="38"/>
      <c r="F936" s="10"/>
      <c r="G936" s="10"/>
      <c r="H936" s="10"/>
      <c r="I936" s="3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>
      <c r="A937" s="10"/>
      <c r="B937" s="10"/>
      <c r="C937" s="10"/>
      <c r="D937" s="10"/>
      <c r="E937" s="38"/>
      <c r="F937" s="10"/>
      <c r="G937" s="10"/>
      <c r="H937" s="10"/>
      <c r="I937" s="3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>
      <c r="A938" s="10"/>
      <c r="B938" s="10"/>
      <c r="C938" s="10"/>
      <c r="D938" s="10"/>
      <c r="E938" s="38"/>
      <c r="F938" s="10"/>
      <c r="G938" s="10"/>
      <c r="H938" s="10"/>
      <c r="I938" s="3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>
      <c r="A939" s="10"/>
      <c r="B939" s="10"/>
      <c r="C939" s="10"/>
      <c r="D939" s="10"/>
      <c r="E939" s="38"/>
      <c r="F939" s="10"/>
      <c r="G939" s="10"/>
      <c r="H939" s="10"/>
      <c r="I939" s="3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>
      <c r="A940" s="10"/>
      <c r="B940" s="10"/>
      <c r="C940" s="10"/>
      <c r="D940" s="10"/>
      <c r="E940" s="38"/>
      <c r="F940" s="10"/>
      <c r="G940" s="10"/>
      <c r="H940" s="10"/>
      <c r="I940" s="3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>
      <c r="A941" s="10"/>
      <c r="B941" s="10"/>
      <c r="C941" s="10"/>
      <c r="D941" s="10"/>
      <c r="E941" s="38"/>
      <c r="F941" s="10"/>
      <c r="G941" s="10"/>
      <c r="H941" s="10"/>
      <c r="I941" s="3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>
      <c r="A942" s="10"/>
      <c r="B942" s="10"/>
      <c r="C942" s="10"/>
      <c r="D942" s="10"/>
      <c r="E942" s="38"/>
      <c r="F942" s="10"/>
      <c r="G942" s="10"/>
      <c r="H942" s="10"/>
      <c r="I942" s="3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>
      <c r="A943" s="10"/>
      <c r="B943" s="10"/>
      <c r="C943" s="10"/>
      <c r="D943" s="10"/>
      <c r="E943" s="38"/>
      <c r="F943" s="10"/>
      <c r="G943" s="10"/>
      <c r="H943" s="10"/>
      <c r="I943" s="3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>
      <c r="A944" s="10"/>
      <c r="B944" s="10"/>
      <c r="C944" s="10"/>
      <c r="D944" s="10"/>
      <c r="E944" s="38"/>
      <c r="F944" s="10"/>
      <c r="G944" s="10"/>
      <c r="H944" s="10"/>
      <c r="I944" s="3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>
      <c r="A945" s="10"/>
      <c r="B945" s="10"/>
      <c r="C945" s="10"/>
      <c r="D945" s="10"/>
      <c r="E945" s="38"/>
      <c r="F945" s="10"/>
      <c r="G945" s="10"/>
      <c r="H945" s="10"/>
      <c r="I945" s="3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>
      <c r="A946" s="10"/>
      <c r="B946" s="10"/>
      <c r="C946" s="10"/>
      <c r="D946" s="10"/>
      <c r="E946" s="38"/>
      <c r="F946" s="10"/>
      <c r="G946" s="10"/>
      <c r="H946" s="10"/>
      <c r="I946" s="3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>
      <c r="A947" s="10"/>
      <c r="B947" s="10"/>
      <c r="C947" s="10"/>
      <c r="D947" s="10"/>
      <c r="E947" s="38"/>
      <c r="F947" s="10"/>
      <c r="G947" s="10"/>
      <c r="H947" s="10"/>
      <c r="I947" s="3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>
      <c r="A948" s="10"/>
      <c r="B948" s="10"/>
      <c r="C948" s="10"/>
      <c r="D948" s="10"/>
      <c r="E948" s="38"/>
      <c r="F948" s="10"/>
      <c r="G948" s="10"/>
      <c r="H948" s="10"/>
      <c r="I948" s="3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>
      <c r="A949" s="10"/>
      <c r="B949" s="10"/>
      <c r="C949" s="10"/>
      <c r="D949" s="10"/>
      <c r="E949" s="38"/>
      <c r="F949" s="10"/>
      <c r="G949" s="10"/>
      <c r="H949" s="10"/>
      <c r="I949" s="3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>
      <c r="A950" s="10"/>
      <c r="B950" s="10"/>
      <c r="C950" s="10"/>
      <c r="D950" s="10"/>
      <c r="E950" s="38"/>
      <c r="F950" s="10"/>
      <c r="G950" s="10"/>
      <c r="H950" s="10"/>
      <c r="I950" s="3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</row>
    <row r="951" spans="1:38">
      <c r="A951" s="10"/>
      <c r="B951" s="10"/>
      <c r="C951" s="10"/>
      <c r="D951" s="10"/>
      <c r="E951" s="38"/>
      <c r="F951" s="10"/>
      <c r="G951" s="10"/>
      <c r="H951" s="10"/>
      <c r="I951" s="3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</row>
    <row r="952" spans="1:38">
      <c r="A952" s="10"/>
      <c r="B952" s="10"/>
      <c r="C952" s="10"/>
      <c r="D952" s="10"/>
      <c r="E952" s="38"/>
      <c r="F952" s="10"/>
      <c r="G952" s="10"/>
      <c r="H952" s="10"/>
      <c r="I952" s="3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</row>
    <row r="953" spans="1:38">
      <c r="A953" s="10"/>
      <c r="B953" s="10"/>
      <c r="C953" s="10"/>
      <c r="D953" s="10"/>
      <c r="E953" s="38"/>
      <c r="F953" s="10"/>
      <c r="G953" s="10"/>
      <c r="H953" s="10"/>
      <c r="I953" s="3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>
      <c r="A954" s="10"/>
      <c r="B954" s="10"/>
      <c r="C954" s="10"/>
      <c r="D954" s="10"/>
      <c r="E954" s="38"/>
      <c r="F954" s="10"/>
      <c r="G954" s="10"/>
      <c r="H954" s="10"/>
      <c r="I954" s="3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>
      <c r="A955" s="10"/>
      <c r="B955" s="10"/>
      <c r="C955" s="10"/>
      <c r="D955" s="10"/>
      <c r="E955" s="38"/>
      <c r="F955" s="10"/>
      <c r="G955" s="10"/>
      <c r="H955" s="10"/>
      <c r="I955" s="3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>
      <c r="A956" s="10"/>
      <c r="B956" s="10"/>
      <c r="C956" s="10"/>
      <c r="D956" s="10"/>
      <c r="E956" s="38"/>
      <c r="F956" s="10"/>
      <c r="G956" s="10"/>
      <c r="H956" s="10"/>
      <c r="I956" s="3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>
      <c r="A957" s="10"/>
      <c r="B957" s="10"/>
      <c r="C957" s="10"/>
      <c r="D957" s="10"/>
      <c r="E957" s="38"/>
      <c r="F957" s="10"/>
      <c r="G957" s="10"/>
      <c r="H957" s="10"/>
      <c r="I957" s="3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>
      <c r="A958" s="10"/>
      <c r="B958" s="10"/>
      <c r="C958" s="10"/>
      <c r="D958" s="10"/>
      <c r="E958" s="38"/>
      <c r="F958" s="10"/>
      <c r="G958" s="10"/>
      <c r="H958" s="10"/>
      <c r="I958" s="3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>
      <c r="A959" s="10"/>
      <c r="B959" s="10"/>
      <c r="C959" s="10"/>
      <c r="D959" s="10"/>
      <c r="E959" s="38"/>
      <c r="F959" s="10"/>
      <c r="G959" s="10"/>
      <c r="H959" s="10"/>
      <c r="I959" s="3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</row>
    <row r="960" spans="1:38">
      <c r="A960" s="10"/>
      <c r="B960" s="10"/>
      <c r="C960" s="10"/>
      <c r="D960" s="10"/>
      <c r="E960" s="38"/>
      <c r="F960" s="10"/>
      <c r="G960" s="10"/>
      <c r="H960" s="10"/>
      <c r="I960" s="3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</row>
    <row r="961" spans="1:38">
      <c r="A961" s="10"/>
      <c r="B961" s="10"/>
      <c r="C961" s="10"/>
      <c r="D961" s="10"/>
      <c r="E961" s="38"/>
      <c r="F961" s="10"/>
      <c r="G961" s="10"/>
      <c r="H961" s="10"/>
      <c r="I961" s="3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</row>
    <row r="962" spans="1:38">
      <c r="A962" s="10"/>
      <c r="B962" s="10"/>
      <c r="C962" s="10"/>
      <c r="D962" s="10"/>
      <c r="E962" s="38"/>
      <c r="F962" s="10"/>
      <c r="G962" s="10"/>
      <c r="H962" s="10"/>
      <c r="I962" s="3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</row>
    <row r="963" spans="1:38">
      <c r="A963" s="10"/>
      <c r="B963" s="10"/>
      <c r="C963" s="10"/>
      <c r="D963" s="10"/>
      <c r="E963" s="38"/>
      <c r="F963" s="10"/>
      <c r="G963" s="10"/>
      <c r="H963" s="10"/>
      <c r="I963" s="3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</row>
    <row r="964" spans="1:38">
      <c r="A964" s="10"/>
      <c r="B964" s="10"/>
      <c r="C964" s="10"/>
      <c r="D964" s="10"/>
      <c r="E964" s="38"/>
      <c r="F964" s="10"/>
      <c r="G964" s="10"/>
      <c r="H964" s="10"/>
      <c r="I964" s="3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</row>
    <row r="965" spans="1:38">
      <c r="A965" s="10"/>
      <c r="B965" s="10"/>
      <c r="C965" s="10"/>
      <c r="D965" s="10"/>
      <c r="E965" s="38"/>
      <c r="F965" s="10"/>
      <c r="G965" s="10"/>
      <c r="H965" s="10"/>
      <c r="I965" s="3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</row>
    <row r="966" spans="1:38">
      <c r="A966" s="10"/>
      <c r="B966" s="10"/>
      <c r="C966" s="10"/>
      <c r="D966" s="10"/>
      <c r="E966" s="38"/>
      <c r="F966" s="10"/>
      <c r="G966" s="10"/>
      <c r="H966" s="10"/>
      <c r="I966" s="3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</row>
    <row r="967" spans="1:38">
      <c r="A967" s="10"/>
      <c r="B967" s="10"/>
      <c r="C967" s="10"/>
      <c r="D967" s="10"/>
      <c r="E967" s="38"/>
      <c r="F967" s="10"/>
      <c r="G967" s="10"/>
      <c r="H967" s="10"/>
      <c r="I967" s="3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</row>
    <row r="968" spans="1:38">
      <c r="A968" s="10"/>
      <c r="B968" s="10"/>
      <c r="C968" s="10"/>
      <c r="D968" s="10"/>
      <c r="E968" s="38"/>
      <c r="F968" s="10"/>
      <c r="G968" s="10"/>
      <c r="H968" s="10"/>
      <c r="I968" s="3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>
      <c r="A969" s="10"/>
      <c r="B969" s="10"/>
      <c r="C969" s="10"/>
      <c r="D969" s="10"/>
      <c r="E969" s="38"/>
      <c r="F969" s="10"/>
      <c r="G969" s="10"/>
      <c r="H969" s="10"/>
      <c r="I969" s="3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>
      <c r="A970" s="10"/>
      <c r="B970" s="10"/>
      <c r="C970" s="10"/>
      <c r="D970" s="10"/>
      <c r="E970" s="38"/>
      <c r="F970" s="10"/>
      <c r="G970" s="10"/>
      <c r="H970" s="10"/>
      <c r="I970" s="3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>
      <c r="A971" s="10"/>
      <c r="B971" s="10"/>
      <c r="C971" s="10"/>
      <c r="D971" s="10"/>
      <c r="E971" s="38"/>
      <c r="F971" s="10"/>
      <c r="G971" s="10"/>
      <c r="H971" s="10"/>
      <c r="I971" s="3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</row>
    <row r="972" spans="1:38">
      <c r="A972" s="10"/>
      <c r="B972" s="10"/>
      <c r="C972" s="10"/>
      <c r="D972" s="10"/>
      <c r="E972" s="38"/>
      <c r="F972" s="10"/>
      <c r="G972" s="10"/>
      <c r="H972" s="10"/>
      <c r="I972" s="3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</row>
    <row r="973" spans="1:38">
      <c r="A973" s="10"/>
      <c r="B973" s="10"/>
      <c r="C973" s="10"/>
      <c r="D973" s="10"/>
      <c r="E973" s="38"/>
      <c r="F973" s="10"/>
      <c r="G973" s="10"/>
      <c r="H973" s="10"/>
      <c r="I973" s="3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</row>
    <row r="974" spans="1:38">
      <c r="A974" s="10"/>
      <c r="B974" s="10"/>
      <c r="C974" s="10"/>
      <c r="D974" s="10"/>
      <c r="E974" s="38"/>
      <c r="F974" s="10"/>
      <c r="G974" s="10"/>
      <c r="H974" s="10"/>
      <c r="I974" s="3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</row>
    <row r="975" spans="1:38">
      <c r="A975" s="10"/>
      <c r="B975" s="10"/>
      <c r="C975" s="10"/>
      <c r="D975" s="10"/>
      <c r="E975" s="38"/>
      <c r="F975" s="10"/>
      <c r="G975" s="10"/>
      <c r="H975" s="10"/>
      <c r="I975" s="3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</row>
    <row r="976" spans="1:38">
      <c r="A976" s="10"/>
      <c r="B976" s="10"/>
      <c r="C976" s="10"/>
      <c r="D976" s="10"/>
      <c r="E976" s="38"/>
      <c r="F976" s="10"/>
      <c r="G976" s="10"/>
      <c r="H976" s="10"/>
      <c r="I976" s="3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</row>
    <row r="977" spans="1:38">
      <c r="A977" s="10"/>
      <c r="B977" s="10"/>
      <c r="C977" s="10"/>
      <c r="D977" s="10"/>
      <c r="E977" s="38"/>
      <c r="F977" s="10"/>
      <c r="G977" s="10"/>
      <c r="H977" s="10"/>
      <c r="I977" s="3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</row>
    <row r="978" spans="1:38">
      <c r="A978" s="10"/>
      <c r="B978" s="10"/>
      <c r="C978" s="10"/>
      <c r="D978" s="10"/>
      <c r="E978" s="38"/>
      <c r="F978" s="10"/>
      <c r="G978" s="10"/>
      <c r="H978" s="10"/>
      <c r="I978" s="3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</row>
    <row r="979" spans="1:38">
      <c r="A979" s="10"/>
      <c r="B979" s="10"/>
      <c r="C979" s="10"/>
      <c r="D979" s="10"/>
      <c r="E979" s="38"/>
      <c r="F979" s="10"/>
      <c r="G979" s="10"/>
      <c r="H979" s="10"/>
      <c r="I979" s="3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</row>
    <row r="980" spans="1:38">
      <c r="A980" s="10"/>
      <c r="B980" s="10"/>
      <c r="C980" s="10"/>
      <c r="D980" s="10"/>
      <c r="E980" s="38"/>
      <c r="F980" s="10"/>
      <c r="G980" s="10"/>
      <c r="H980" s="10"/>
      <c r="I980" s="3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>
      <c r="A981" s="10"/>
      <c r="B981" s="10"/>
      <c r="C981" s="10"/>
      <c r="D981" s="10"/>
      <c r="E981" s="38"/>
      <c r="F981" s="10"/>
      <c r="G981" s="10"/>
      <c r="H981" s="10"/>
      <c r="I981" s="3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>
      <c r="A982" s="10"/>
      <c r="B982" s="10"/>
      <c r="C982" s="10"/>
      <c r="D982" s="10"/>
      <c r="E982" s="38"/>
      <c r="F982" s="10"/>
      <c r="G982" s="10"/>
      <c r="H982" s="10"/>
      <c r="I982" s="3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>
      <c r="A983" s="10"/>
      <c r="B983" s="10"/>
      <c r="C983" s="10"/>
      <c r="D983" s="10"/>
      <c r="E983" s="38"/>
      <c r="F983" s="10"/>
      <c r="G983" s="10"/>
      <c r="H983" s="10"/>
      <c r="I983" s="3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>
      <c r="A984" s="10"/>
      <c r="B984" s="10"/>
      <c r="C984" s="10"/>
      <c r="D984" s="10"/>
      <c r="E984" s="38"/>
      <c r="F984" s="10"/>
      <c r="G984" s="10"/>
      <c r="H984" s="10"/>
      <c r="I984" s="3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>
      <c r="A985" s="10"/>
      <c r="B985" s="10"/>
      <c r="C985" s="10"/>
      <c r="D985" s="10"/>
      <c r="E985" s="38"/>
      <c r="F985" s="10"/>
      <c r="G985" s="10"/>
      <c r="H985" s="10"/>
      <c r="I985" s="3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>
      <c r="A986" s="10"/>
      <c r="B986" s="10"/>
      <c r="C986" s="10"/>
      <c r="D986" s="10"/>
      <c r="E986" s="38"/>
      <c r="F986" s="10"/>
      <c r="G986" s="10"/>
      <c r="H986" s="10"/>
      <c r="I986" s="3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>
      <c r="A987" s="10"/>
      <c r="B987" s="10"/>
      <c r="C987" s="10"/>
      <c r="D987" s="10"/>
      <c r="E987" s="38"/>
      <c r="F987" s="10"/>
      <c r="G987" s="10"/>
      <c r="H987" s="10"/>
      <c r="I987" s="3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>
      <c r="A988" s="10"/>
      <c r="B988" s="10"/>
      <c r="C988" s="10"/>
      <c r="D988" s="10"/>
      <c r="E988" s="38"/>
      <c r="F988" s="10"/>
      <c r="G988" s="10"/>
      <c r="H988" s="10"/>
      <c r="I988" s="3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>
      <c r="A989" s="10"/>
      <c r="B989" s="10"/>
      <c r="C989" s="10"/>
      <c r="D989" s="10"/>
      <c r="E989" s="38"/>
      <c r="F989" s="10"/>
      <c r="G989" s="10"/>
      <c r="H989" s="10"/>
      <c r="I989" s="3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>
      <c r="A990" s="10"/>
      <c r="B990" s="10"/>
      <c r="C990" s="10"/>
      <c r="D990" s="10"/>
      <c r="E990" s="38"/>
      <c r="F990" s="10"/>
      <c r="G990" s="10"/>
      <c r="H990" s="10"/>
      <c r="I990" s="3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>
      <c r="A991" s="10"/>
      <c r="B991" s="10"/>
      <c r="C991" s="10"/>
      <c r="D991" s="10"/>
      <c r="E991" s="38"/>
      <c r="F991" s="10"/>
      <c r="G991" s="10"/>
      <c r="H991" s="10"/>
      <c r="I991" s="3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>
      <c r="A992" s="10"/>
      <c r="B992" s="10"/>
      <c r="C992" s="10"/>
      <c r="D992" s="10"/>
      <c r="E992" s="38"/>
      <c r="F992" s="10"/>
      <c r="G992" s="10"/>
      <c r="H992" s="10"/>
      <c r="I992" s="3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>
      <c r="A993" s="10"/>
      <c r="B993" s="10"/>
      <c r="C993" s="10"/>
      <c r="D993" s="10"/>
      <c r="E993" s="38"/>
      <c r="F993" s="10"/>
      <c r="G993" s="10"/>
      <c r="H993" s="10"/>
      <c r="I993" s="3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>
      <c r="A994" s="10"/>
      <c r="B994" s="10"/>
      <c r="C994" s="10"/>
      <c r="D994" s="10"/>
      <c r="E994" s="38"/>
      <c r="F994" s="10"/>
      <c r="G994" s="10"/>
      <c r="H994" s="10"/>
      <c r="I994" s="3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>
      <c r="A995" s="10"/>
      <c r="B995" s="10"/>
      <c r="C995" s="10"/>
      <c r="D995" s="10"/>
      <c r="E995" s="38"/>
      <c r="F995" s="10"/>
      <c r="G995" s="10"/>
      <c r="H995" s="10"/>
      <c r="I995" s="3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>
      <c r="A996" s="10"/>
      <c r="B996" s="10"/>
      <c r="C996" s="10"/>
      <c r="D996" s="10"/>
      <c r="E996" s="38"/>
      <c r="F996" s="10"/>
      <c r="G996" s="10"/>
      <c r="H996" s="10"/>
      <c r="I996" s="3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>
      <c r="A997" s="10"/>
      <c r="B997" s="10"/>
      <c r="C997" s="10"/>
      <c r="D997" s="10"/>
      <c r="E997" s="38"/>
      <c r="F997" s="10"/>
      <c r="G997" s="10"/>
      <c r="H997" s="10"/>
      <c r="I997" s="3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>
      <c r="A998" s="10"/>
      <c r="B998" s="10"/>
      <c r="C998" s="10"/>
      <c r="D998" s="10"/>
      <c r="E998" s="38"/>
      <c r="F998" s="10"/>
      <c r="G998" s="10"/>
      <c r="H998" s="10"/>
      <c r="I998" s="3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>
      <c r="H999" s="10"/>
      <c r="I999" s="3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>
      <c r="H1000" s="10"/>
      <c r="I1000" s="3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İyun 2025</vt:lpstr>
      <vt:lpstr>İyul 2025</vt:lpstr>
      <vt:lpstr>Avqust 2025</vt:lpstr>
      <vt:lpstr>Sentyabr 2025</vt:lpstr>
      <vt:lpstr>Oktyabr 2025</vt:lpstr>
      <vt:lpstr>Noyabr 2025</vt:lpstr>
      <vt:lpstr>Noyabr 08-30.2025</vt:lpstr>
      <vt:lpstr>Dekabr 01-04.2025</vt:lpstr>
      <vt:lpstr>Dekabr 05-25.2025</vt:lpstr>
      <vt:lpstr>Dekabr 25-31.2025</vt:lpstr>
      <vt:lpstr>Yanvar 01-04.2026</vt:lpstr>
      <vt:lpstr>Yanvar 05-31.2016</vt:lpstr>
      <vt:lpstr>Fevral 04-28.2026</vt:lpstr>
      <vt:lpstr>Fevral 01-03.2026</vt:lpstr>
      <vt:lpstr>Mart 01-31.2026</vt:lpstr>
      <vt:lpstr>Aprel-1-16.04</vt:lpstr>
      <vt:lpstr>Aprel 17-30.04</vt:lpstr>
      <vt:lpstr>May 1-5.05</vt:lpstr>
      <vt:lpstr>May 6-31.2026</vt:lpstr>
      <vt:lpstr>İyun 1-16.2026</vt:lpstr>
      <vt:lpstr>Iyun  17-30.2026</vt:lpstr>
      <vt:lpstr>Iyul   1-31</vt:lpstr>
      <vt:lpstr>Avqust 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shahbazovismayil1996@gmail.com</cp:lastModifiedBy>
  <dcterms:modified xsi:type="dcterms:W3CDTF">2026-08-11T09:52:55Z</dcterms:modified>
</cp:coreProperties>
</file>